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11707" documentId="8_{E7E98982-9C46-40B1-9E5A-BA20084D8536}" xr6:coauthVersionLast="47" xr6:coauthVersionMax="47" xr10:uidLastSave="{5AB1FB5A-7612-4E34-8706-FD58F5361BAE}"/>
  <bookViews>
    <workbookView xWindow="25620" yWindow="2505" windowWidth="25980" windowHeight="18495" xr2:uid="{2814A5A1-EFA6-4151-BA7C-836144036BFF}"/>
  </bookViews>
  <sheets>
    <sheet name="Fert Eval" sheetId="40" r:id="rId1"/>
    <sheet name="Cost estimate per treatment" sheetId="41" r:id="rId2"/>
    <sheet name="Fert Eval programming" sheetId="39" r:id="rId3"/>
    <sheet name="FertEvalChoices" sheetId="36" state="hidden" r:id="rId4"/>
    <sheet name="inputs" sheetId="2" r:id="rId5"/>
  </sheets>
  <definedNames>
    <definedName name="_xlnm._FilterDatabase" localSheetId="2" hidden="1">'Fert Eval programming'!$A$1:$AK$255</definedName>
    <definedName name="_xlnm._FilterDatabase" localSheetId="4" hidden="1">inputs!$A$1:$F$57</definedName>
    <definedName name="CCR0">inputs!$M$2</definedName>
    <definedName name="_xlnm.Print_Area" localSheetId="4">inputs!$A$1:$M$58</definedName>
    <definedName name="rate0">inputs!$M$2</definedName>
    <definedName name="rate1">inputs!$M$3</definedName>
    <definedName name="rate10">inputs!$M$12</definedName>
    <definedName name="rate11">inputs!$M$13</definedName>
    <definedName name="rate12">inputs!$M$14</definedName>
    <definedName name="rate2">inputs!$M$4</definedName>
    <definedName name="rate3">inputs!$M$5</definedName>
    <definedName name="rate4">inputs!$M$6</definedName>
    <definedName name="rate5">inputs!$M$7</definedName>
    <definedName name="rate6">inputs!$M$8</definedName>
    <definedName name="rate7">inputs!$M$9</definedName>
    <definedName name="rate8">inputs!$M$10</definedName>
    <definedName name="rate9">inputs!$M$11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" i="39" l="1"/>
  <c r="AG3" i="39"/>
  <c r="AF3" i="39"/>
  <c r="AE3" i="39"/>
  <c r="AD3" i="39"/>
  <c r="AC3" i="39"/>
  <c r="AB3" i="39"/>
  <c r="AA3" i="39"/>
  <c r="Z3" i="39"/>
  <c r="Y3" i="39"/>
  <c r="X3" i="39"/>
  <c r="W3" i="39"/>
  <c r="V3" i="39"/>
  <c r="D21" i="40"/>
  <c r="D20" i="40"/>
  <c r="D19" i="40"/>
  <c r="D18" i="40"/>
  <c r="D23" i="40" s="1"/>
  <c r="D14" i="40"/>
  <c r="D22" i="40"/>
  <c r="D13" i="40"/>
  <c r="D12" i="40"/>
  <c r="D11" i="40"/>
  <c r="D10" i="40"/>
  <c r="D15" i="40" s="1"/>
  <c r="F208" i="39"/>
  <c r="F55" i="39"/>
  <c r="F53" i="39"/>
  <c r="F52" i="39"/>
  <c r="F42" i="39"/>
  <c r="F41" i="39"/>
  <c r="F39" i="39"/>
  <c r="F187" i="39"/>
  <c r="AP122" i="39"/>
  <c r="AP123" i="39"/>
  <c r="H74" i="39"/>
  <c r="K72" i="39"/>
  <c r="K70" i="39"/>
  <c r="Z6" i="39"/>
  <c r="AK206" i="39"/>
  <c r="AJ205" i="39"/>
  <c r="AI35" i="39"/>
  <c r="AI17" i="39"/>
  <c r="AJ17" i="39"/>
  <c r="D43" i="40"/>
  <c r="D44" i="40"/>
  <c r="D45" i="40"/>
  <c r="U256" i="39"/>
  <c r="U237" i="39"/>
  <c r="U218" i="39"/>
  <c r="U201" i="39"/>
  <c r="U155" i="39"/>
  <c r="U114" i="39"/>
  <c r="U74" i="39"/>
  <c r="AJ74" i="39"/>
  <c r="H36" i="39"/>
  <c r="I36" i="39"/>
  <c r="J36" i="39"/>
  <c r="K36" i="39"/>
  <c r="L36" i="39"/>
  <c r="M36" i="39"/>
  <c r="N36" i="39"/>
  <c r="O36" i="39"/>
  <c r="P36" i="39"/>
  <c r="Q36" i="39"/>
  <c r="R36" i="39"/>
  <c r="S36" i="39"/>
  <c r="U36" i="39"/>
  <c r="AI36" i="39"/>
  <c r="H18" i="39"/>
  <c r="I18" i="39"/>
  <c r="J18" i="39"/>
  <c r="L18" i="39"/>
  <c r="M18" i="39"/>
  <c r="N18" i="39"/>
  <c r="O18" i="39"/>
  <c r="P18" i="39"/>
  <c r="Q18" i="39"/>
  <c r="R18" i="39"/>
  <c r="S18" i="39"/>
  <c r="D27" i="40"/>
  <c r="D28" i="40"/>
  <c r="D29" i="40"/>
  <c r="D30" i="40"/>
  <c r="D31" i="40"/>
  <c r="D32" i="40"/>
  <c r="D33" i="40"/>
  <c r="D34" i="40"/>
  <c r="D35" i="40"/>
  <c r="D36" i="40"/>
  <c r="D37" i="40"/>
  <c r="D38" i="40"/>
  <c r="D39" i="40"/>
  <c r="D40" i="40"/>
  <c r="D41" i="40"/>
  <c r="D42" i="40"/>
  <c r="D26" i="40"/>
  <c r="BD39" i="39"/>
  <c r="BF39" i="39"/>
  <c r="BG39" i="39"/>
  <c r="BE39" i="39"/>
  <c r="BB15" i="39"/>
  <c r="BC15" i="39"/>
  <c r="BD15" i="39"/>
  <c r="BE15" i="39"/>
  <c r="BF15" i="39"/>
  <c r="BG15" i="39"/>
  <c r="BH15" i="39"/>
  <c r="BA15" i="39"/>
  <c r="BA39" i="39"/>
  <c r="BH39" i="39"/>
  <c r="AY15" i="39"/>
  <c r="AY56" i="39"/>
  <c r="AY21" i="39"/>
  <c r="AP170" i="39"/>
  <c r="AP163" i="39"/>
  <c r="K174" i="39" s="1"/>
  <c r="AP129" i="39"/>
  <c r="K145" i="39" s="1"/>
  <c r="K138" i="39"/>
  <c r="AP88" i="39"/>
  <c r="K101" i="39" s="1"/>
  <c r="K102" i="39" s="1"/>
  <c r="AP83" i="39"/>
  <c r="K99" i="39" s="1"/>
  <c r="AP82" i="39"/>
  <c r="AP94" i="39" s="1"/>
  <c r="K92" i="39" s="1"/>
  <c r="F226" i="39"/>
  <c r="F15" i="39"/>
  <c r="AK15" i="39" s="1"/>
  <c r="AK255" i="39"/>
  <c r="AH255" i="39"/>
  <c r="AG255" i="39"/>
  <c r="AF255" i="39"/>
  <c r="AE255" i="39"/>
  <c r="AD255" i="39"/>
  <c r="AC255" i="39"/>
  <c r="T255" i="39"/>
  <c r="AG254" i="39"/>
  <c r="AE254" i="39"/>
  <c r="F254" i="39"/>
  <c r="AH253" i="39"/>
  <c r="AG253" i="39"/>
  <c r="AF253" i="39"/>
  <c r="AE253" i="39"/>
  <c r="AD253" i="39"/>
  <c r="AC253" i="39"/>
  <c r="Z253" i="39"/>
  <c r="T253" i="39"/>
  <c r="AG252" i="39"/>
  <c r="AE252" i="39"/>
  <c r="Z252" i="39"/>
  <c r="F252" i="39"/>
  <c r="AG251" i="39"/>
  <c r="AE251" i="39"/>
  <c r="Z251" i="39"/>
  <c r="F251" i="39"/>
  <c r="AH251" i="39" s="1"/>
  <c r="AG250" i="39"/>
  <c r="AE250" i="39"/>
  <c r="Z250" i="39"/>
  <c r="F250" i="39"/>
  <c r="AF250" i="39" s="1"/>
  <c r="AG249" i="39"/>
  <c r="AE249" i="39"/>
  <c r="Z249" i="39"/>
  <c r="F249" i="39"/>
  <c r="AG248" i="39"/>
  <c r="AE248" i="39"/>
  <c r="Z248" i="39"/>
  <c r="F248" i="39"/>
  <c r="AG247" i="39"/>
  <c r="AE247" i="39"/>
  <c r="Z247" i="39"/>
  <c r="AG246" i="39"/>
  <c r="AE246" i="39"/>
  <c r="F246" i="39"/>
  <c r="AH246" i="39" s="1"/>
  <c r="AH245" i="39"/>
  <c r="AG245" i="39"/>
  <c r="AF245" i="39"/>
  <c r="AE245" i="39"/>
  <c r="AD245" i="39"/>
  <c r="AC245" i="39"/>
  <c r="T245" i="39"/>
  <c r="AH244" i="39"/>
  <c r="AG244" i="39"/>
  <c r="AF244" i="39"/>
  <c r="AE244" i="39"/>
  <c r="AD244" i="39"/>
  <c r="AC244" i="39"/>
  <c r="Z244" i="39"/>
  <c r="T244" i="39"/>
  <c r="AH243" i="39"/>
  <c r="AG243" i="39"/>
  <c r="AF243" i="39"/>
  <c r="AE243" i="39"/>
  <c r="AD243" i="39"/>
  <c r="AC243" i="39"/>
  <c r="T243" i="39"/>
  <c r="AG242" i="39"/>
  <c r="AE242" i="39"/>
  <c r="Z242" i="39"/>
  <c r="F242" i="39"/>
  <c r="AF242" i="39" s="1"/>
  <c r="AE241" i="39"/>
  <c r="Z241" i="39"/>
  <c r="F241" i="39"/>
  <c r="AH241" i="39" s="1"/>
  <c r="AG240" i="39"/>
  <c r="AE240" i="39"/>
  <c r="Z240" i="39"/>
  <c r="F240" i="39"/>
  <c r="AH240" i="39" s="1"/>
  <c r="AH239" i="39"/>
  <c r="AG239" i="39"/>
  <c r="AF239" i="39"/>
  <c r="AE239" i="39"/>
  <c r="AD239" i="39"/>
  <c r="AC239" i="39"/>
  <c r="Z239" i="39"/>
  <c r="AK236" i="39"/>
  <c r="AH236" i="39"/>
  <c r="AG236" i="39"/>
  <c r="AF236" i="39"/>
  <c r="AE236" i="39"/>
  <c r="AD236" i="39"/>
  <c r="AC236" i="39"/>
  <c r="AG235" i="39"/>
  <c r="AE235" i="39"/>
  <c r="F235" i="39"/>
  <c r="AH235" i="39" s="1"/>
  <c r="AG234" i="39"/>
  <c r="AE234" i="39"/>
  <c r="Z234" i="39"/>
  <c r="AF234" i="39"/>
  <c r="AG233" i="39"/>
  <c r="AE233" i="39"/>
  <c r="Z233" i="39"/>
  <c r="F233" i="39"/>
  <c r="AF233" i="39" s="1"/>
  <c r="AG232" i="39"/>
  <c r="AE232" i="39"/>
  <c r="Z232" i="39"/>
  <c r="F232" i="39"/>
  <c r="AF232" i="39" s="1"/>
  <c r="AG231" i="39"/>
  <c r="AE231" i="39"/>
  <c r="Z231" i="39"/>
  <c r="F231" i="39"/>
  <c r="AF231" i="39" s="1"/>
  <c r="AG230" i="39"/>
  <c r="AE230" i="39"/>
  <c r="Z230" i="39"/>
  <c r="F230" i="39"/>
  <c r="AG229" i="39"/>
  <c r="AE229" i="39"/>
  <c r="Z229" i="39"/>
  <c r="F229" i="39"/>
  <c r="AF229" i="39" s="1"/>
  <c r="AG228" i="39"/>
  <c r="AE228" i="39"/>
  <c r="Z228" i="39"/>
  <c r="AG227" i="39"/>
  <c r="AE227" i="39"/>
  <c r="F227" i="39"/>
  <c r="AH227" i="39" s="1"/>
  <c r="AJ226" i="39"/>
  <c r="AG226" i="39"/>
  <c r="AE226" i="39"/>
  <c r="AH225" i="39"/>
  <c r="AG225" i="39"/>
  <c r="AF225" i="39"/>
  <c r="AE225" i="39"/>
  <c r="AD225" i="39"/>
  <c r="AC225" i="39"/>
  <c r="Z225" i="39"/>
  <c r="AG224" i="39"/>
  <c r="AE224" i="39"/>
  <c r="AG223" i="39"/>
  <c r="AE223" i="39"/>
  <c r="Z223" i="39"/>
  <c r="F223" i="39"/>
  <c r="AD223" i="39" s="1"/>
  <c r="AE222" i="39"/>
  <c r="Z222" i="39"/>
  <c r="F222" i="39"/>
  <c r="AD222" i="39" s="1"/>
  <c r="AG221" i="39"/>
  <c r="AE221" i="39"/>
  <c r="Z221" i="39"/>
  <c r="F221" i="39"/>
  <c r="AD221" i="39" s="1"/>
  <c r="AH220" i="39"/>
  <c r="AG220" i="39"/>
  <c r="AF220" i="39"/>
  <c r="AE220" i="39"/>
  <c r="AD220" i="39"/>
  <c r="AC220" i="39"/>
  <c r="Z220" i="39"/>
  <c r="AH217" i="39"/>
  <c r="AG217" i="39"/>
  <c r="AF217" i="39"/>
  <c r="AE217" i="39"/>
  <c r="AD217" i="39"/>
  <c r="AC217" i="39"/>
  <c r="AG216" i="39"/>
  <c r="AE216" i="39"/>
  <c r="F216" i="39"/>
  <c r="AF216" i="39" s="1"/>
  <c r="AG215" i="39"/>
  <c r="AE215" i="39"/>
  <c r="F215" i="39"/>
  <c r="AG214" i="39"/>
  <c r="AE214" i="39"/>
  <c r="Z214" i="39"/>
  <c r="K214" i="39"/>
  <c r="F214" i="39"/>
  <c r="AG213" i="39"/>
  <c r="AE213" i="39"/>
  <c r="Z213" i="39"/>
  <c r="K213" i="39"/>
  <c r="F213" i="39"/>
  <c r="AC213" i="39" s="1"/>
  <c r="AG212" i="39"/>
  <c r="AE212" i="39"/>
  <c r="Z212" i="39"/>
  <c r="F212" i="39"/>
  <c r="AI212" i="39" s="1"/>
  <c r="AG211" i="39"/>
  <c r="AE211" i="39"/>
  <c r="Z211" i="39"/>
  <c r="F211" i="39"/>
  <c r="AG210" i="39"/>
  <c r="AE210" i="39"/>
  <c r="Z210" i="39"/>
  <c r="F210" i="39"/>
  <c r="AH210" i="39" s="1"/>
  <c r="AH209" i="39"/>
  <c r="AG209" i="39"/>
  <c r="AF209" i="39"/>
  <c r="AE209" i="39"/>
  <c r="AD209" i="39"/>
  <c r="AC209" i="39"/>
  <c r="AG208" i="39"/>
  <c r="AE208" i="39"/>
  <c r="Z208" i="39"/>
  <c r="AF208" i="39"/>
  <c r="AG207" i="39"/>
  <c r="AE207" i="39"/>
  <c r="Z207" i="39"/>
  <c r="F207" i="39"/>
  <c r="AH207" i="39" s="1"/>
  <c r="AP206" i="39"/>
  <c r="AH206" i="39"/>
  <c r="AG206" i="39"/>
  <c r="AF206" i="39"/>
  <c r="AE206" i="39"/>
  <c r="AD206" i="39"/>
  <c r="AC206" i="39"/>
  <c r="Z206" i="39"/>
  <c r="T206" i="39"/>
  <c r="AG205" i="39"/>
  <c r="AE205" i="39"/>
  <c r="Z205" i="39"/>
  <c r="F205" i="39"/>
  <c r="AF205" i="39" s="1"/>
  <c r="AG204" i="39"/>
  <c r="AE204" i="39"/>
  <c r="Z204" i="39"/>
  <c r="F204" i="39"/>
  <c r="AC204" i="39" s="1"/>
  <c r="AH203" i="39"/>
  <c r="AG203" i="39"/>
  <c r="AF203" i="39"/>
  <c r="AE203" i="39"/>
  <c r="AD203" i="39"/>
  <c r="AC203" i="39"/>
  <c r="Z203" i="39"/>
  <c r="AH200" i="39"/>
  <c r="AG200" i="39"/>
  <c r="AF200" i="39"/>
  <c r="AE200" i="39"/>
  <c r="AD200" i="39"/>
  <c r="AC200" i="39"/>
  <c r="AG199" i="39"/>
  <c r="AE199" i="39"/>
  <c r="AG198" i="39"/>
  <c r="AE198" i="39"/>
  <c r="Z198" i="39"/>
  <c r="AG197" i="39"/>
  <c r="AE197" i="39"/>
  <c r="Z197" i="39"/>
  <c r="F197" i="39"/>
  <c r="AI197" i="39" s="1"/>
  <c r="AG196" i="39"/>
  <c r="AE196" i="39"/>
  <c r="Z196" i="39"/>
  <c r="F196" i="39"/>
  <c r="AG195" i="39"/>
  <c r="AE195" i="39"/>
  <c r="Z195" i="39"/>
  <c r="AG194" i="39"/>
  <c r="AE194" i="39"/>
  <c r="F194" i="39"/>
  <c r="AG193" i="39"/>
  <c r="AE193" i="39"/>
  <c r="F193" i="39"/>
  <c r="AG192" i="39"/>
  <c r="AE192" i="39"/>
  <c r="Z192" i="39"/>
  <c r="F192" i="39"/>
  <c r="AF192" i="39" s="1"/>
  <c r="AG191" i="39"/>
  <c r="AE191" i="39"/>
  <c r="Z191" i="39"/>
  <c r="F191" i="39"/>
  <c r="AF191" i="39" s="1"/>
  <c r="AG190" i="39"/>
  <c r="AE190" i="39"/>
  <c r="Z190" i="39"/>
  <c r="F190" i="39"/>
  <c r="AG189" i="39"/>
  <c r="AE189" i="39"/>
  <c r="Z189" i="39"/>
  <c r="F189" i="39"/>
  <c r="AH189" i="39" s="1"/>
  <c r="AG188" i="39"/>
  <c r="Z188" i="39"/>
  <c r="F188" i="39"/>
  <c r="AF188" i="39" s="1"/>
  <c r="AG187" i="39"/>
  <c r="AE187" i="39"/>
  <c r="Z187" i="39"/>
  <c r="AF187" i="39"/>
  <c r="AG186" i="39"/>
  <c r="Z186" i="39"/>
  <c r="F186" i="39"/>
  <c r="AH185" i="39"/>
  <c r="AG185" i="39"/>
  <c r="AF185" i="39"/>
  <c r="AE185" i="39"/>
  <c r="AD185" i="39"/>
  <c r="Z185" i="39"/>
  <c r="AG184" i="39"/>
  <c r="Z184" i="39"/>
  <c r="F184" i="39"/>
  <c r="AD184" i="39" s="1"/>
  <c r="AG183" i="39"/>
  <c r="AE183" i="39"/>
  <c r="Z183" i="39"/>
  <c r="F183" i="39"/>
  <c r="AG182" i="39"/>
  <c r="AE182" i="39"/>
  <c r="Z182" i="39"/>
  <c r="F182" i="39"/>
  <c r="AH182" i="39" s="1"/>
  <c r="AG181" i="39"/>
  <c r="Z181" i="39"/>
  <c r="F181" i="39"/>
  <c r="AD181" i="39" s="1"/>
  <c r="AG180" i="39"/>
  <c r="AE180" i="39"/>
  <c r="Z180" i="39"/>
  <c r="F180" i="39"/>
  <c r="AH180" i="39" s="1"/>
  <c r="AG179" i="39"/>
  <c r="Z179" i="39"/>
  <c r="F179" i="39"/>
  <c r="AH179" i="39" s="1"/>
  <c r="AG178" i="39"/>
  <c r="AE178" i="39"/>
  <c r="Z178" i="39"/>
  <c r="F178" i="39"/>
  <c r="AF178" i="39" s="1"/>
  <c r="AG177" i="39"/>
  <c r="AE177" i="39"/>
  <c r="F177" i="39"/>
  <c r="AD177" i="39" s="1"/>
  <c r="AG176" i="39"/>
  <c r="AE176" i="39"/>
  <c r="Z176" i="39"/>
  <c r="F176" i="39"/>
  <c r="AD176" i="39" s="1"/>
  <c r="AH175" i="39"/>
  <c r="AG175" i="39"/>
  <c r="AF175" i="39"/>
  <c r="AE175" i="39"/>
  <c r="AD175" i="39"/>
  <c r="Z175" i="39"/>
  <c r="AG174" i="39"/>
  <c r="Z174" i="39"/>
  <c r="F174" i="39"/>
  <c r="AP173" i="39"/>
  <c r="AP164" i="39" s="1"/>
  <c r="AG173" i="39"/>
  <c r="AE173" i="39"/>
  <c r="Z173" i="39"/>
  <c r="F173" i="39"/>
  <c r="AF173" i="39" s="1"/>
  <c r="AG172" i="39"/>
  <c r="AE172" i="39"/>
  <c r="Z172" i="39"/>
  <c r="F172" i="39"/>
  <c r="AF172" i="39" s="1"/>
  <c r="AI171" i="39"/>
  <c r="AG171" i="39"/>
  <c r="AE171" i="39"/>
  <c r="Z171" i="39"/>
  <c r="F171" i="39"/>
  <c r="AG170" i="39"/>
  <c r="AE170" i="39"/>
  <c r="Z170" i="39"/>
  <c r="F170" i="39"/>
  <c r="AG169" i="39"/>
  <c r="AE169" i="39"/>
  <c r="F169" i="39"/>
  <c r="AH169" i="39" s="1"/>
  <c r="AG168" i="39"/>
  <c r="AE168" i="39"/>
  <c r="Z168" i="39"/>
  <c r="F168" i="39"/>
  <c r="AF168" i="39" s="1"/>
  <c r="AG167" i="39"/>
  <c r="AE167" i="39"/>
  <c r="AC167" i="39"/>
  <c r="AH166" i="39"/>
  <c r="AG166" i="39"/>
  <c r="AF166" i="39"/>
  <c r="AE166" i="39"/>
  <c r="AD166" i="39"/>
  <c r="AC166" i="39"/>
  <c r="AP177" i="39"/>
  <c r="AH165" i="39"/>
  <c r="AG165" i="39"/>
  <c r="AF165" i="39"/>
  <c r="AE165" i="39"/>
  <c r="AD165" i="39"/>
  <c r="AC165" i="39"/>
  <c r="Z165" i="39"/>
  <c r="AG164" i="39"/>
  <c r="AE164" i="39"/>
  <c r="Z164" i="39"/>
  <c r="F164" i="39"/>
  <c r="AF164" i="39" s="1"/>
  <c r="AH163" i="39"/>
  <c r="AG163" i="39"/>
  <c r="AF163" i="39"/>
  <c r="AE163" i="39"/>
  <c r="AD163" i="39"/>
  <c r="AC163" i="39"/>
  <c r="Z163" i="39"/>
  <c r="AK162" i="39"/>
  <c r="AH162" i="39"/>
  <c r="AG162" i="39"/>
  <c r="AF162" i="39"/>
  <c r="AE162" i="39"/>
  <c r="AD162" i="39"/>
  <c r="AC162" i="39"/>
  <c r="Z162" i="39"/>
  <c r="AH161" i="39"/>
  <c r="AG161" i="39"/>
  <c r="AF161" i="39"/>
  <c r="AE161" i="39"/>
  <c r="AD161" i="39"/>
  <c r="AC161" i="39"/>
  <c r="AH160" i="39"/>
  <c r="AG160" i="39"/>
  <c r="AF160" i="39"/>
  <c r="AE160" i="39"/>
  <c r="AD160" i="39"/>
  <c r="AC160" i="39"/>
  <c r="Z160" i="39"/>
  <c r="AH159" i="39"/>
  <c r="AG159" i="39"/>
  <c r="AF159" i="39"/>
  <c r="AE159" i="39"/>
  <c r="AD159" i="39"/>
  <c r="AC159" i="39"/>
  <c r="Z159" i="39"/>
  <c r="AH158" i="39"/>
  <c r="AG158" i="39"/>
  <c r="AF158" i="39"/>
  <c r="AE158" i="39"/>
  <c r="AD158" i="39"/>
  <c r="AC158" i="39"/>
  <c r="Z158" i="39"/>
  <c r="AG157" i="39"/>
  <c r="AE157" i="39"/>
  <c r="Z157" i="39"/>
  <c r="F157" i="39"/>
  <c r="AF157" i="39" s="1"/>
  <c r="AH154" i="39"/>
  <c r="AG154" i="39"/>
  <c r="AF154" i="39"/>
  <c r="AE154" i="39"/>
  <c r="AD154" i="39"/>
  <c r="AC154" i="39"/>
  <c r="T154" i="39"/>
  <c r="AK153" i="39"/>
  <c r="AG153" i="39"/>
  <c r="AE153" i="39"/>
  <c r="AG152" i="39"/>
  <c r="AE152" i="39"/>
  <c r="Z152" i="39"/>
  <c r="AG151" i="39"/>
  <c r="AE151" i="39"/>
  <c r="Z151" i="39"/>
  <c r="F151" i="39"/>
  <c r="AI151" i="39" s="1"/>
  <c r="AG150" i="39"/>
  <c r="AE150" i="39"/>
  <c r="Z150" i="39"/>
  <c r="F150" i="39"/>
  <c r="AG149" i="39"/>
  <c r="AE149" i="39"/>
  <c r="Z149" i="39"/>
  <c r="AG148" i="39"/>
  <c r="AE148" i="39"/>
  <c r="F148" i="39"/>
  <c r="AC148" i="39" s="1"/>
  <c r="AG147" i="39"/>
  <c r="AE147" i="39"/>
  <c r="F147" i="39"/>
  <c r="F153" i="39" s="1"/>
  <c r="AD153" i="39" s="1"/>
  <c r="AG146" i="39"/>
  <c r="AE146" i="39"/>
  <c r="Z146" i="39"/>
  <c r="F146" i="39"/>
  <c r="AF146" i="39" s="1"/>
  <c r="AG145" i="39"/>
  <c r="AE145" i="39"/>
  <c r="Z145" i="39"/>
  <c r="F145" i="39"/>
  <c r="AC145" i="39" s="1"/>
  <c r="AG144" i="39"/>
  <c r="AE144" i="39"/>
  <c r="Z144" i="39"/>
  <c r="F144" i="39"/>
  <c r="AG143" i="39"/>
  <c r="Z143" i="39"/>
  <c r="F143" i="39"/>
  <c r="AH143" i="39" s="1"/>
  <c r="AG142" i="39"/>
  <c r="Z142" i="39"/>
  <c r="F142" i="39"/>
  <c r="AD142" i="39" s="1"/>
  <c r="AH141" i="39"/>
  <c r="AG141" i="39"/>
  <c r="AF141" i="39"/>
  <c r="AE141" i="39"/>
  <c r="AD141" i="39"/>
  <c r="Z141" i="39"/>
  <c r="T141" i="39"/>
  <c r="AG140" i="39"/>
  <c r="Z140" i="39"/>
  <c r="F140" i="39"/>
  <c r="AH140" i="39" s="1"/>
  <c r="AG139" i="39"/>
  <c r="AE139" i="39"/>
  <c r="Z139" i="39"/>
  <c r="F139" i="39"/>
  <c r="AD139" i="39" s="1"/>
  <c r="AG138" i="39"/>
  <c r="Z138" i="39"/>
  <c r="F138" i="39"/>
  <c r="AG137" i="39"/>
  <c r="Z137" i="39"/>
  <c r="F137" i="39"/>
  <c r="AD137" i="39" s="1"/>
  <c r="AG136" i="39"/>
  <c r="AE136" i="39"/>
  <c r="Z136" i="39"/>
  <c r="F136" i="39"/>
  <c r="AF136" i="39" s="1"/>
  <c r="AG135" i="39"/>
  <c r="AE135" i="39"/>
  <c r="F135" i="39"/>
  <c r="AG134" i="39"/>
  <c r="AE134" i="39"/>
  <c r="Z134" i="39"/>
  <c r="F134" i="39"/>
  <c r="AC134" i="39" s="1"/>
  <c r="AH133" i="39"/>
  <c r="AG133" i="39"/>
  <c r="AF133" i="39"/>
  <c r="AE133" i="39"/>
  <c r="AD133" i="39"/>
  <c r="Z133" i="39"/>
  <c r="T133" i="39"/>
  <c r="AG132" i="39"/>
  <c r="Z132" i="39"/>
  <c r="F132" i="39"/>
  <c r="AF132" i="39" s="1"/>
  <c r="AG131" i="39"/>
  <c r="AE131" i="39"/>
  <c r="Z131" i="39"/>
  <c r="F131" i="39"/>
  <c r="AG130" i="39"/>
  <c r="AE130" i="39"/>
  <c r="Z130" i="39"/>
  <c r="F130" i="39"/>
  <c r="AH130" i="39" s="1"/>
  <c r="AG129" i="39"/>
  <c r="AE129" i="39"/>
  <c r="Z129" i="39"/>
  <c r="F129" i="39"/>
  <c r="AG128" i="39"/>
  <c r="AE128" i="39"/>
  <c r="F128" i="39"/>
  <c r="AK127" i="39"/>
  <c r="AG127" i="39"/>
  <c r="AE127" i="39"/>
  <c r="Z127" i="39"/>
  <c r="F127" i="39"/>
  <c r="AD127" i="39" s="1"/>
  <c r="AH126" i="39"/>
  <c r="AG126" i="39"/>
  <c r="AF126" i="39"/>
  <c r="AE126" i="39"/>
  <c r="AD126" i="39"/>
  <c r="AC126" i="39"/>
  <c r="T126" i="39"/>
  <c r="AH125" i="39"/>
  <c r="AG125" i="39"/>
  <c r="AF125" i="39"/>
  <c r="AE125" i="39"/>
  <c r="AD125" i="39"/>
  <c r="AC125" i="39"/>
  <c r="T125" i="39"/>
  <c r="F149" i="39"/>
  <c r="AC149" i="39" s="1"/>
  <c r="AH124" i="39"/>
  <c r="AG124" i="39"/>
  <c r="AF124" i="39"/>
  <c r="AE124" i="39"/>
  <c r="AD124" i="39"/>
  <c r="AC124" i="39"/>
  <c r="Z124" i="39"/>
  <c r="T124" i="39"/>
  <c r="AG123" i="39"/>
  <c r="AE123" i="39"/>
  <c r="Z123" i="39"/>
  <c r="F123" i="39"/>
  <c r="AH123" i="39" s="1"/>
  <c r="AH122" i="39"/>
  <c r="AG122" i="39"/>
  <c r="AF122" i="39"/>
  <c r="AE122" i="39"/>
  <c r="AD122" i="39"/>
  <c r="AC122" i="39"/>
  <c r="Z122" i="39"/>
  <c r="T122" i="39"/>
  <c r="AK121" i="39"/>
  <c r="AH121" i="39"/>
  <c r="AG121" i="39"/>
  <c r="AF121" i="39"/>
  <c r="AE121" i="39"/>
  <c r="AD121" i="39"/>
  <c r="AC121" i="39"/>
  <c r="Z121" i="39"/>
  <c r="T121" i="39"/>
  <c r="AH120" i="39"/>
  <c r="AG120" i="39"/>
  <c r="AF120" i="39"/>
  <c r="AE120" i="39"/>
  <c r="AD120" i="39"/>
  <c r="AC120" i="39"/>
  <c r="T120" i="39"/>
  <c r="AH119" i="39"/>
  <c r="AG119" i="39"/>
  <c r="AF119" i="39"/>
  <c r="AE119" i="39"/>
  <c r="AD119" i="39"/>
  <c r="AC119" i="39"/>
  <c r="Z119" i="39"/>
  <c r="T119" i="39"/>
  <c r="AH118" i="39"/>
  <c r="AG118" i="39"/>
  <c r="AF118" i="39"/>
  <c r="AE118" i="39"/>
  <c r="AD118" i="39"/>
  <c r="AC118" i="39"/>
  <c r="Z118" i="39"/>
  <c r="T118" i="39"/>
  <c r="AH117" i="39"/>
  <c r="AG117" i="39"/>
  <c r="AF117" i="39"/>
  <c r="AE117" i="39"/>
  <c r="AD117" i="39"/>
  <c r="AC117" i="39"/>
  <c r="Z117" i="39"/>
  <c r="T117" i="39"/>
  <c r="AG116" i="39"/>
  <c r="AE116" i="39"/>
  <c r="Z116" i="39"/>
  <c r="F116" i="39"/>
  <c r="AC116" i="39" s="1"/>
  <c r="AH113" i="39"/>
  <c r="AG113" i="39"/>
  <c r="AF113" i="39"/>
  <c r="AE113" i="39"/>
  <c r="AD113" i="39"/>
  <c r="AC113" i="39"/>
  <c r="T113" i="39"/>
  <c r="AK112" i="39"/>
  <c r="AG112" i="39"/>
  <c r="AE112" i="39"/>
  <c r="AG111" i="39"/>
  <c r="AE111" i="39"/>
  <c r="Z111" i="39"/>
  <c r="AG110" i="39"/>
  <c r="AE110" i="39"/>
  <c r="Z110" i="39"/>
  <c r="F110" i="39"/>
  <c r="AH110" i="39" s="1"/>
  <c r="AG109" i="39"/>
  <c r="AE109" i="39"/>
  <c r="Z109" i="39"/>
  <c r="F109" i="39"/>
  <c r="AD109" i="39" s="1"/>
  <c r="AG108" i="39"/>
  <c r="AE108" i="39"/>
  <c r="Z108" i="39"/>
  <c r="AG107" i="39"/>
  <c r="AE107" i="39"/>
  <c r="F107" i="39"/>
  <c r="AF107" i="39" s="1"/>
  <c r="AG106" i="39"/>
  <c r="AE106" i="39"/>
  <c r="F106" i="39"/>
  <c r="F112" i="39" s="1"/>
  <c r="AD112" i="39" s="1"/>
  <c r="AG105" i="39"/>
  <c r="AE105" i="39"/>
  <c r="Z105" i="39"/>
  <c r="F105" i="39"/>
  <c r="AF105" i="39" s="1"/>
  <c r="AG104" i="39"/>
  <c r="AE104" i="39"/>
  <c r="Z104" i="39"/>
  <c r="F104" i="39"/>
  <c r="AF104" i="39" s="1"/>
  <c r="AG103" i="39"/>
  <c r="AE103" i="39"/>
  <c r="Z103" i="39"/>
  <c r="F103" i="39"/>
  <c r="AH103" i="39" s="1"/>
  <c r="AG102" i="39"/>
  <c r="AE102" i="39"/>
  <c r="Z102" i="39"/>
  <c r="F102" i="39"/>
  <c r="AH102" i="39" s="1"/>
  <c r="AG101" i="39"/>
  <c r="AE101" i="39"/>
  <c r="Z101" i="39"/>
  <c r="F101" i="39"/>
  <c r="AH101" i="39" s="1"/>
  <c r="AG100" i="39"/>
  <c r="AE100" i="39"/>
  <c r="Z100" i="39"/>
  <c r="K100" i="39"/>
  <c r="F100" i="39"/>
  <c r="AD100" i="39" s="1"/>
  <c r="AG99" i="39"/>
  <c r="AE99" i="39"/>
  <c r="Z99" i="39"/>
  <c r="F99" i="39"/>
  <c r="AH99" i="39" s="1"/>
  <c r="AG98" i="39"/>
  <c r="AE98" i="39"/>
  <c r="Z98" i="39"/>
  <c r="F98" i="39"/>
  <c r="AC98" i="39" s="1"/>
  <c r="AG97" i="39"/>
  <c r="AE97" i="39"/>
  <c r="Z97" i="39"/>
  <c r="F97" i="39"/>
  <c r="AF97" i="39" s="1"/>
  <c r="AG96" i="39"/>
  <c r="AE96" i="39"/>
  <c r="Z96" i="39"/>
  <c r="F96" i="39"/>
  <c r="AH96" i="39" s="1"/>
  <c r="AG95" i="39"/>
  <c r="AE95" i="39"/>
  <c r="F95" i="39"/>
  <c r="AG94" i="39"/>
  <c r="AE94" i="39"/>
  <c r="Z94" i="39"/>
  <c r="F94" i="39"/>
  <c r="AC94" i="39" s="1"/>
  <c r="AG93" i="39"/>
  <c r="AE93" i="39"/>
  <c r="Z93" i="39"/>
  <c r="F93" i="39"/>
  <c r="AD93" i="39" s="1"/>
  <c r="AG92" i="39"/>
  <c r="AE92" i="39"/>
  <c r="Z92" i="39"/>
  <c r="F92" i="39"/>
  <c r="AH92" i="39" s="1"/>
  <c r="AG91" i="39"/>
  <c r="AE91" i="39"/>
  <c r="Z91" i="39"/>
  <c r="F91" i="39"/>
  <c r="AH91" i="39" s="1"/>
  <c r="AG90" i="39"/>
  <c r="AE90" i="39"/>
  <c r="Z90" i="39"/>
  <c r="F90" i="39"/>
  <c r="AC90" i="39" s="1"/>
  <c r="AH89" i="39"/>
  <c r="AG89" i="39"/>
  <c r="AF89" i="39"/>
  <c r="AE89" i="39"/>
  <c r="AD89" i="39"/>
  <c r="AC89" i="39"/>
  <c r="Z89" i="39"/>
  <c r="T89" i="39"/>
  <c r="AG88" i="39"/>
  <c r="AE88" i="39"/>
  <c r="F88" i="39"/>
  <c r="AG87" i="39"/>
  <c r="AE87" i="39"/>
  <c r="Z87" i="39"/>
  <c r="F87" i="39"/>
  <c r="AC87" i="39" s="1"/>
  <c r="AH86" i="39"/>
  <c r="AG86" i="39"/>
  <c r="AF86" i="39"/>
  <c r="AE86" i="39"/>
  <c r="AD86" i="39"/>
  <c r="AC86" i="39"/>
  <c r="T86" i="39"/>
  <c r="AH85" i="39"/>
  <c r="AG85" i="39"/>
  <c r="AF85" i="39"/>
  <c r="AE85" i="39"/>
  <c r="AD85" i="39"/>
  <c r="AC85" i="39"/>
  <c r="T85" i="39"/>
  <c r="AH84" i="39"/>
  <c r="AG84" i="39"/>
  <c r="AF84" i="39"/>
  <c r="AE84" i="39"/>
  <c r="AD84" i="39"/>
  <c r="AC84" i="39"/>
  <c r="Z84" i="39"/>
  <c r="T84" i="39"/>
  <c r="AG83" i="39"/>
  <c r="AE83" i="39"/>
  <c r="Z83" i="39"/>
  <c r="F83" i="39"/>
  <c r="AF83" i="39" s="1"/>
  <c r="AH82" i="39"/>
  <c r="AG82" i="39"/>
  <c r="AF82" i="39"/>
  <c r="AE82" i="39"/>
  <c r="AD82" i="39"/>
  <c r="AC82" i="39"/>
  <c r="Z82" i="39"/>
  <c r="T82" i="39"/>
  <c r="AK81" i="39"/>
  <c r="AH81" i="39"/>
  <c r="AG81" i="39"/>
  <c r="AF81" i="39"/>
  <c r="AE81" i="39"/>
  <c r="AD81" i="39"/>
  <c r="AC81" i="39"/>
  <c r="Z81" i="39"/>
  <c r="T81" i="39"/>
  <c r="AH80" i="39"/>
  <c r="AG80" i="39"/>
  <c r="AF80" i="39"/>
  <c r="AE80" i="39"/>
  <c r="AD80" i="39"/>
  <c r="AC80" i="39"/>
  <c r="T80" i="39"/>
  <c r="AH79" i="39"/>
  <c r="AG79" i="39"/>
  <c r="AF79" i="39"/>
  <c r="AE79" i="39"/>
  <c r="AD79" i="39"/>
  <c r="AC79" i="39"/>
  <c r="Z79" i="39"/>
  <c r="T79" i="39"/>
  <c r="AH78" i="39"/>
  <c r="AG78" i="39"/>
  <c r="AF78" i="39"/>
  <c r="AE78" i="39"/>
  <c r="AD78" i="39"/>
  <c r="AC78" i="39"/>
  <c r="Z78" i="39"/>
  <c r="T78" i="39"/>
  <c r="AH77" i="39"/>
  <c r="AG77" i="39"/>
  <c r="AF77" i="39"/>
  <c r="AE77" i="39"/>
  <c r="AD77" i="39"/>
  <c r="AC77" i="39"/>
  <c r="Z77" i="39"/>
  <c r="T77" i="39"/>
  <c r="AG76" i="39"/>
  <c r="AE76" i="39"/>
  <c r="Z76" i="39"/>
  <c r="F76" i="39"/>
  <c r="AG73" i="39"/>
  <c r="AE73" i="39"/>
  <c r="F73" i="39"/>
  <c r="AH73" i="39" s="1"/>
  <c r="AG72" i="39"/>
  <c r="AE72" i="39"/>
  <c r="Z72" i="39"/>
  <c r="F72" i="39"/>
  <c r="AH72" i="39" s="1"/>
  <c r="AG71" i="39"/>
  <c r="AE71" i="39"/>
  <c r="Z71" i="39"/>
  <c r="F71" i="39"/>
  <c r="AF71" i="39" s="1"/>
  <c r="AG70" i="39"/>
  <c r="AE70" i="39"/>
  <c r="Z70" i="39"/>
  <c r="F70" i="39"/>
  <c r="AD70" i="39" s="1"/>
  <c r="AG69" i="39"/>
  <c r="AE69" i="39"/>
  <c r="F69" i="39"/>
  <c r="AF69" i="39" s="1"/>
  <c r="AG68" i="39"/>
  <c r="AE68" i="39"/>
  <c r="Z68" i="39"/>
  <c r="F68" i="39"/>
  <c r="AF68" i="39" s="1"/>
  <c r="AG67" i="39"/>
  <c r="AE67" i="39"/>
  <c r="Z67" i="39"/>
  <c r="F67" i="39"/>
  <c r="AF67" i="39" s="1"/>
  <c r="AE66" i="39"/>
  <c r="Z66" i="39"/>
  <c r="F66" i="39"/>
  <c r="AK65" i="39"/>
  <c r="AH65" i="39"/>
  <c r="AG65" i="39"/>
  <c r="AF65" i="39"/>
  <c r="AE65" i="39"/>
  <c r="AD65" i="39"/>
  <c r="AC65" i="39"/>
  <c r="Z65" i="39"/>
  <c r="T65" i="39"/>
  <c r="AE64" i="39"/>
  <c r="Z64" i="39"/>
  <c r="F64" i="39"/>
  <c r="AC64" i="39" s="1"/>
  <c r="AG63" i="39"/>
  <c r="AE63" i="39"/>
  <c r="Z63" i="39"/>
  <c r="F63" i="39"/>
  <c r="AD63" i="39" s="1"/>
  <c r="AG62" i="39"/>
  <c r="AE62" i="39"/>
  <c r="Z62" i="39"/>
  <c r="F62" i="39"/>
  <c r="AF62" i="39" s="1"/>
  <c r="AG61" i="39"/>
  <c r="AE61" i="39"/>
  <c r="F61" i="39"/>
  <c r="AF61" i="39" s="1"/>
  <c r="AH58" i="39"/>
  <c r="AG58" i="39"/>
  <c r="AF58" i="39"/>
  <c r="AE58" i="39"/>
  <c r="AD58" i="39"/>
  <c r="AC58" i="39"/>
  <c r="T58" i="39"/>
  <c r="AK57" i="39"/>
  <c r="AH57" i="39"/>
  <c r="AG57" i="39"/>
  <c r="AF57" i="39"/>
  <c r="AE57" i="39"/>
  <c r="AD57" i="39"/>
  <c r="AC57" i="39"/>
  <c r="T57" i="39"/>
  <c r="AH56" i="39"/>
  <c r="AG56" i="39"/>
  <c r="AF56" i="39"/>
  <c r="AE56" i="39"/>
  <c r="AD56" i="39"/>
  <c r="AC56" i="39"/>
  <c r="Z56" i="39"/>
  <c r="T56" i="39"/>
  <c r="AG55" i="39"/>
  <c r="AE55" i="39"/>
  <c r="Z55" i="39"/>
  <c r="AG54" i="39"/>
  <c r="AE54" i="39"/>
  <c r="Z54" i="39"/>
  <c r="AF54" i="39"/>
  <c r="AG53" i="39"/>
  <c r="AE53" i="39"/>
  <c r="Z53" i="39"/>
  <c r="AG52" i="39"/>
  <c r="AE52" i="39"/>
  <c r="Z52" i="39"/>
  <c r="AG51" i="39"/>
  <c r="AE51" i="39"/>
  <c r="Z51" i="39"/>
  <c r="AF51" i="39"/>
  <c r="AH50" i="39"/>
  <c r="AG50" i="39"/>
  <c r="AF50" i="39"/>
  <c r="AE50" i="39"/>
  <c r="AD50" i="39"/>
  <c r="AC50" i="39"/>
  <c r="T50" i="39"/>
  <c r="AH49" i="39"/>
  <c r="AG49" i="39"/>
  <c r="AF49" i="39"/>
  <c r="AE49" i="39"/>
  <c r="AD49" i="39"/>
  <c r="AC49" i="39"/>
  <c r="Z49" i="39"/>
  <c r="T49" i="39"/>
  <c r="AH48" i="39"/>
  <c r="AG48" i="39"/>
  <c r="AF48" i="39"/>
  <c r="AE48" i="39"/>
  <c r="AD48" i="39"/>
  <c r="AC48" i="39"/>
  <c r="T48" i="39"/>
  <c r="AH47" i="39"/>
  <c r="AG47" i="39"/>
  <c r="AF47" i="39"/>
  <c r="AE47" i="39"/>
  <c r="AD47" i="39"/>
  <c r="AC47" i="39"/>
  <c r="Z47" i="39"/>
  <c r="T47" i="39"/>
  <c r="AH46" i="39"/>
  <c r="AG46" i="39"/>
  <c r="AF46" i="39"/>
  <c r="AE46" i="39"/>
  <c r="AD46" i="39"/>
  <c r="AC46" i="39"/>
  <c r="T46" i="39"/>
  <c r="AJ45" i="39"/>
  <c r="AG45" i="39"/>
  <c r="AE45" i="39"/>
  <c r="Z45" i="39"/>
  <c r="F45" i="39"/>
  <c r="AD45" i="39" s="1"/>
  <c r="AH44" i="39"/>
  <c r="AG44" i="39"/>
  <c r="AF44" i="39"/>
  <c r="AE44" i="39"/>
  <c r="AD44" i="39"/>
  <c r="AC44" i="39"/>
  <c r="Z44" i="39"/>
  <c r="T44" i="39"/>
  <c r="AG43" i="39"/>
  <c r="AE43" i="39"/>
  <c r="AD43" i="39"/>
  <c r="AG42" i="39"/>
  <c r="AE42" i="39"/>
  <c r="Z42" i="39"/>
  <c r="AE41" i="39"/>
  <c r="Z41" i="39"/>
  <c r="AG40" i="39"/>
  <c r="AE40" i="39"/>
  <c r="Z40" i="39"/>
  <c r="AG39" i="39"/>
  <c r="AE39" i="39"/>
  <c r="Z39" i="39"/>
  <c r="AH38" i="39"/>
  <c r="AG38" i="39"/>
  <c r="AF38" i="39"/>
  <c r="AE38" i="39"/>
  <c r="AD38" i="39"/>
  <c r="AC38" i="39"/>
  <c r="Z38" i="39"/>
  <c r="T38" i="39"/>
  <c r="AH34" i="39"/>
  <c r="AG34" i="39"/>
  <c r="AF34" i="39"/>
  <c r="AE34" i="39"/>
  <c r="AD34" i="39"/>
  <c r="AC34" i="39"/>
  <c r="T34" i="39"/>
  <c r="AK33" i="39"/>
  <c r="AH33" i="39"/>
  <c r="AG33" i="39"/>
  <c r="AF33" i="39"/>
  <c r="AE33" i="39"/>
  <c r="AD33" i="39"/>
  <c r="AC33" i="39"/>
  <c r="T33" i="39"/>
  <c r="AH32" i="39"/>
  <c r="AG32" i="39"/>
  <c r="AF32" i="39"/>
  <c r="AE32" i="39"/>
  <c r="AD32" i="39"/>
  <c r="AC32" i="39"/>
  <c r="T32" i="39"/>
  <c r="AG31" i="39"/>
  <c r="AE31" i="39"/>
  <c r="Z31" i="39"/>
  <c r="F31" i="39"/>
  <c r="AF31" i="39" s="1"/>
  <c r="AE30" i="39"/>
  <c r="Z30" i="39"/>
  <c r="F30" i="39"/>
  <c r="AC30" i="39" s="1"/>
  <c r="AH29" i="39"/>
  <c r="AG29" i="39"/>
  <c r="AF29" i="39"/>
  <c r="AE29" i="39"/>
  <c r="AD29" i="39"/>
  <c r="AC29" i="39"/>
  <c r="T29" i="39"/>
  <c r="AG28" i="39"/>
  <c r="AE28" i="39"/>
  <c r="Z28" i="39"/>
  <c r="AH27" i="39"/>
  <c r="AG27" i="39"/>
  <c r="AF27" i="39"/>
  <c r="AE27" i="39"/>
  <c r="AD27" i="39"/>
  <c r="AC27" i="39"/>
  <c r="Z27" i="39"/>
  <c r="T27" i="39"/>
  <c r="AG26" i="39"/>
  <c r="AE26" i="39"/>
  <c r="Z26" i="39"/>
  <c r="F26" i="39"/>
  <c r="AH26" i="39" s="1"/>
  <c r="AH25" i="39"/>
  <c r="AG25" i="39"/>
  <c r="AF25" i="39"/>
  <c r="AE25" i="39"/>
  <c r="AD25" i="39"/>
  <c r="AC25" i="39"/>
  <c r="T25" i="39"/>
  <c r="AH24" i="39"/>
  <c r="AG24" i="39"/>
  <c r="AF24" i="39"/>
  <c r="AE24" i="39"/>
  <c r="AD24" i="39"/>
  <c r="AC24" i="39"/>
  <c r="Z24" i="39"/>
  <c r="T24" i="39"/>
  <c r="AK23" i="39"/>
  <c r="AH23" i="39"/>
  <c r="AG23" i="39"/>
  <c r="AF23" i="39"/>
  <c r="AE23" i="39"/>
  <c r="AD23" i="39"/>
  <c r="AC23" i="39"/>
  <c r="Z23" i="39"/>
  <c r="T23" i="39"/>
  <c r="AH22" i="39"/>
  <c r="AG22" i="39"/>
  <c r="AF22" i="39"/>
  <c r="AE22" i="39"/>
  <c r="AD22" i="39"/>
  <c r="AC22" i="39"/>
  <c r="T22" i="39"/>
  <c r="AH21" i="39"/>
  <c r="AG21" i="39"/>
  <c r="AF21" i="39"/>
  <c r="AE21" i="39"/>
  <c r="AD21" i="39"/>
  <c r="AC21" i="39"/>
  <c r="Z21" i="39"/>
  <c r="T21" i="39"/>
  <c r="AG20" i="39"/>
  <c r="AE20" i="39"/>
  <c r="Z20" i="39"/>
  <c r="F20" i="39"/>
  <c r="AF20" i="39" s="1"/>
  <c r="AG16" i="39"/>
  <c r="AE16" i="39"/>
  <c r="AE15" i="39"/>
  <c r="AG14" i="39"/>
  <c r="AE14" i="39"/>
  <c r="Z14" i="39"/>
  <c r="F14" i="39"/>
  <c r="AD14" i="39" s="1"/>
  <c r="AE13" i="39"/>
  <c r="F13" i="39"/>
  <c r="AH13" i="39" s="1"/>
  <c r="AG12" i="39"/>
  <c r="AE12" i="39"/>
  <c r="F12" i="39"/>
  <c r="F16" i="39" s="1"/>
  <c r="AG11" i="39"/>
  <c r="AE11" i="39"/>
  <c r="Z11" i="39"/>
  <c r="K11" i="39"/>
  <c r="K18" i="39" s="1"/>
  <c r="F11" i="39"/>
  <c r="AG10" i="39"/>
  <c r="AE10" i="39"/>
  <c r="Z10" i="39"/>
  <c r="F10" i="39"/>
  <c r="T10" i="39" s="1"/>
  <c r="AG9" i="39"/>
  <c r="AE9" i="39"/>
  <c r="Z9" i="39"/>
  <c r="F9" i="39"/>
  <c r="AH9" i="39" s="1"/>
  <c r="AK8" i="39"/>
  <c r="AH8" i="39"/>
  <c r="AG8" i="39"/>
  <c r="AF8" i="39"/>
  <c r="AE8" i="39"/>
  <c r="AD8" i="39"/>
  <c r="AC8" i="39"/>
  <c r="Z8" i="39"/>
  <c r="T8" i="39"/>
  <c r="AH7" i="39"/>
  <c r="AG7" i="39"/>
  <c r="AF7" i="39"/>
  <c r="AE7" i="39"/>
  <c r="AD7" i="39"/>
  <c r="AC7" i="39"/>
  <c r="Z7" i="39"/>
  <c r="T7" i="39"/>
  <c r="AH6" i="39"/>
  <c r="AG6" i="39"/>
  <c r="AF6" i="39"/>
  <c r="AE6" i="39"/>
  <c r="AD6" i="39"/>
  <c r="AC6" i="39"/>
  <c r="T6" i="39"/>
  <c r="AH5" i="39"/>
  <c r="AG5" i="39"/>
  <c r="AF5" i="39"/>
  <c r="AE5" i="39"/>
  <c r="AD5" i="39"/>
  <c r="AC5" i="39"/>
  <c r="T5" i="39"/>
  <c r="M256" i="39" l="1"/>
  <c r="H256" i="39"/>
  <c r="J256" i="39"/>
  <c r="Q256" i="39"/>
  <c r="M237" i="39"/>
  <c r="S237" i="39"/>
  <c r="I237" i="39"/>
  <c r="P256" i="39"/>
  <c r="L256" i="39"/>
  <c r="I256" i="39"/>
  <c r="J237" i="39"/>
  <c r="Q237" i="39"/>
  <c r="S256" i="39"/>
  <c r="O256" i="39"/>
  <c r="K256" i="39"/>
  <c r="O237" i="39"/>
  <c r="R256" i="39"/>
  <c r="N256" i="39"/>
  <c r="G256" i="39"/>
  <c r="K232" i="39"/>
  <c r="K237" i="39" s="1"/>
  <c r="P237" i="39"/>
  <c r="L237" i="39"/>
  <c r="H237" i="39"/>
  <c r="G237" i="39"/>
  <c r="R237" i="39"/>
  <c r="N237" i="39"/>
  <c r="O218" i="39"/>
  <c r="K218" i="39"/>
  <c r="J218" i="39"/>
  <c r="N218" i="39"/>
  <c r="G218" i="39"/>
  <c r="Q218" i="39"/>
  <c r="M218" i="39"/>
  <c r="H218" i="39"/>
  <c r="S218" i="39"/>
  <c r="R218" i="39"/>
  <c r="P218" i="39"/>
  <c r="L218" i="39"/>
  <c r="I218" i="39"/>
  <c r="R74" i="39"/>
  <c r="J74" i="39"/>
  <c r="Q74" i="39"/>
  <c r="M74" i="39"/>
  <c r="I74" i="39"/>
  <c r="G74" i="39"/>
  <c r="P74" i="39"/>
  <c r="L74" i="39"/>
  <c r="N74" i="39"/>
  <c r="S74" i="39"/>
  <c r="O74" i="39"/>
  <c r="K74" i="39"/>
  <c r="G17" i="39"/>
  <c r="AE17" i="39"/>
  <c r="AE35" i="39"/>
  <c r="AK35" i="39"/>
  <c r="AK17" i="39"/>
  <c r="T18" i="39"/>
  <c r="J17" i="39"/>
  <c r="R17" i="39"/>
  <c r="Q17" i="39"/>
  <c r="M17" i="39"/>
  <c r="I17" i="39"/>
  <c r="N17" i="39"/>
  <c r="P17" i="39"/>
  <c r="L17" i="39"/>
  <c r="H17" i="39"/>
  <c r="S17" i="39"/>
  <c r="O17" i="39"/>
  <c r="K17" i="39"/>
  <c r="AE256" i="39"/>
  <c r="AK237" i="39"/>
  <c r="AE237" i="39"/>
  <c r="AG218" i="39"/>
  <c r="AE218" i="39"/>
  <c r="AG201" i="39"/>
  <c r="AK155" i="39"/>
  <c r="AG155" i="39"/>
  <c r="AG114" i="39"/>
  <c r="AE114" i="39"/>
  <c r="AI74" i="39"/>
  <c r="AE74" i="39"/>
  <c r="AE59" i="39"/>
  <c r="G36" i="39"/>
  <c r="AK36" i="39"/>
  <c r="AE36" i="39"/>
  <c r="G18" i="39"/>
  <c r="BB20" i="39"/>
  <c r="K173" i="39"/>
  <c r="AD15" i="39"/>
  <c r="AC191" i="39"/>
  <c r="AC189" i="39"/>
  <c r="T241" i="39"/>
  <c r="AY20" i="39"/>
  <c r="T100" i="39"/>
  <c r="AF240" i="39"/>
  <c r="BE40" i="39"/>
  <c r="T239" i="39"/>
  <c r="AF241" i="39"/>
  <c r="AH106" i="39"/>
  <c r="AY88" i="39"/>
  <c r="AY90" i="39"/>
  <c r="BG40" i="39"/>
  <c r="BC31" i="39"/>
  <c r="AF101" i="39"/>
  <c r="BF40" i="39"/>
  <c r="T95" i="39"/>
  <c r="AZ31" i="39"/>
  <c r="AY171" i="39"/>
  <c r="AY130" i="39"/>
  <c r="BH40" i="39"/>
  <c r="AY31" i="39"/>
  <c r="BA40" i="39"/>
  <c r="AY68" i="39"/>
  <c r="AH224" i="39"/>
  <c r="AF87" i="39"/>
  <c r="AC157" i="39"/>
  <c r="BD40" i="39"/>
  <c r="AY212" i="39"/>
  <c r="AD106" i="39"/>
  <c r="AY214" i="39"/>
  <c r="AH97" i="39"/>
  <c r="K183" i="39"/>
  <c r="AF15" i="39"/>
  <c r="AD51" i="39"/>
  <c r="T83" i="39"/>
  <c r="AC147" i="39"/>
  <c r="T251" i="39"/>
  <c r="T97" i="39"/>
  <c r="AF147" i="39"/>
  <c r="AK168" i="39"/>
  <c r="T87" i="39"/>
  <c r="AF94" i="39"/>
  <c r="AH127" i="39"/>
  <c r="AD248" i="39"/>
  <c r="AK87" i="39"/>
  <c r="AK114" i="39" s="1"/>
  <c r="AD94" i="39"/>
  <c r="T15" i="39"/>
  <c r="AF176" i="39"/>
  <c r="AH15" i="39"/>
  <c r="AC15" i="39"/>
  <c r="AC205" i="39"/>
  <c r="AC210" i="39"/>
  <c r="AD105" i="39"/>
  <c r="AF116" i="39"/>
  <c r="AD123" i="39"/>
  <c r="AC143" i="39"/>
  <c r="T158" i="39"/>
  <c r="T161" i="39"/>
  <c r="AC164" i="39"/>
  <c r="AF177" i="39"/>
  <c r="AD250" i="39"/>
  <c r="AD204" i="39"/>
  <c r="AH222" i="39"/>
  <c r="T26" i="39"/>
  <c r="T30" i="39"/>
  <c r="AH70" i="39"/>
  <c r="AD87" i="39"/>
  <c r="AH87" i="39"/>
  <c r="AF91" i="39"/>
  <c r="AF95" i="39"/>
  <c r="AF106" i="39"/>
  <c r="T180" i="39"/>
  <c r="T192" i="39"/>
  <c r="AD192" i="39"/>
  <c r="AF204" i="39"/>
  <c r="AF227" i="39"/>
  <c r="AD241" i="39"/>
  <c r="T54" i="39"/>
  <c r="AF10" i="39"/>
  <c r="AH69" i="39"/>
  <c r="AC73" i="39"/>
  <c r="T91" i="39"/>
  <c r="T103" i="39"/>
  <c r="AD116" i="39"/>
  <c r="AH116" i="39"/>
  <c r="AF123" i="39"/>
  <c r="T147" i="39"/>
  <c r="AH151" i="39"/>
  <c r="AH157" i="39"/>
  <c r="AC184" i="39"/>
  <c r="AC187" i="39"/>
  <c r="AH212" i="39"/>
  <c r="T220" i="39"/>
  <c r="AF223" i="39"/>
  <c r="T240" i="39"/>
  <c r="AF148" i="39"/>
  <c r="AF194" i="39"/>
  <c r="AC194" i="39"/>
  <c r="AH194" i="39"/>
  <c r="AD140" i="39"/>
  <c r="AF142" i="39"/>
  <c r="AF145" i="39"/>
  <c r="T160" i="39"/>
  <c r="AF167" i="39"/>
  <c r="AC170" i="39"/>
  <c r="AH170" i="39"/>
  <c r="AD172" i="39"/>
  <c r="AF181" i="39"/>
  <c r="AH197" i="39"/>
  <c r="T207" i="39"/>
  <c r="AD224" i="39"/>
  <c r="AD233" i="39"/>
  <c r="AC242" i="39"/>
  <c r="AC54" i="39"/>
  <c r="AH54" i="39"/>
  <c r="AF70" i="39"/>
  <c r="AC83" i="39"/>
  <c r="AH83" i="39"/>
  <c r="T93" i="39"/>
  <c r="AD95" i="39"/>
  <c r="AH95" i="39"/>
  <c r="AF99" i="39"/>
  <c r="AC101" i="39"/>
  <c r="AF26" i="39"/>
  <c r="F28" i="39"/>
  <c r="M35" i="39" s="1"/>
  <c r="AF30" i="39"/>
  <c r="AC51" i="39"/>
  <c r="AH51" i="39"/>
  <c r="AD54" i="39"/>
  <c r="AH63" i="39"/>
  <c r="AF72" i="39"/>
  <c r="T73" i="39"/>
  <c r="AF73" i="39"/>
  <c r="AD83" i="39"/>
  <c r="AF98" i="39"/>
  <c r="AF100" i="39"/>
  <c r="AF102" i="39"/>
  <c r="AF103" i="39"/>
  <c r="T106" i="39"/>
  <c r="T109" i="39"/>
  <c r="T116" i="39"/>
  <c r="T123" i="39"/>
  <c r="T129" i="39"/>
  <c r="AH136" i="39"/>
  <c r="T139" i="39"/>
  <c r="AF139" i="39"/>
  <c r="T151" i="39"/>
  <c r="AD157" i="39"/>
  <c r="AF169" i="39"/>
  <c r="AD170" i="39"/>
  <c r="AH173" i="39"/>
  <c r="AC176" i="39"/>
  <c r="AF189" i="39"/>
  <c r="AH192" i="39"/>
  <c r="AH205" i="39"/>
  <c r="AF210" i="39"/>
  <c r="AC212" i="39"/>
  <c r="AF221" i="39"/>
  <c r="AC222" i="39"/>
  <c r="AD242" i="39"/>
  <c r="T246" i="39"/>
  <c r="T248" i="39"/>
  <c r="AD9" i="39"/>
  <c r="AF9" i="39"/>
  <c r="AD10" i="39"/>
  <c r="AH10" i="39"/>
  <c r="AH43" i="39"/>
  <c r="AD167" i="39"/>
  <c r="AH167" i="39"/>
  <c r="AH178" i="39"/>
  <c r="AC207" i="39"/>
  <c r="AC223" i="39"/>
  <c r="T225" i="39"/>
  <c r="T226" i="39"/>
  <c r="T227" i="39"/>
  <c r="AC227" i="39"/>
  <c r="AH231" i="39"/>
  <c r="AH232" i="39"/>
  <c r="AC240" i="39"/>
  <c r="AC241" i="39"/>
  <c r="T242" i="39"/>
  <c r="AC246" i="39"/>
  <c r="AH252" i="39"/>
  <c r="T9" i="39"/>
  <c r="AC26" i="39"/>
  <c r="AD26" i="39"/>
  <c r="AD30" i="39"/>
  <c r="AH45" i="39"/>
  <c r="T51" i="39"/>
  <c r="AH62" i="39"/>
  <c r="AD72" i="39"/>
  <c r="AD73" i="39"/>
  <c r="AD91" i="39"/>
  <c r="AF93" i="39"/>
  <c r="AC95" i="39"/>
  <c r="AD98" i="39"/>
  <c r="AC106" i="39"/>
  <c r="AC123" i="39"/>
  <c r="AC139" i="39"/>
  <c r="AC140" i="39"/>
  <c r="AC142" i="39"/>
  <c r="AD143" i="39"/>
  <c r="AH146" i="39"/>
  <c r="AD151" i="39"/>
  <c r="T163" i="39"/>
  <c r="T164" i="39"/>
  <c r="AD169" i="39"/>
  <c r="AH172" i="39"/>
  <c r="AC182" i="39"/>
  <c r="AF184" i="39"/>
  <c r="AH188" i="39"/>
  <c r="AD207" i="39"/>
  <c r="AD210" i="39"/>
  <c r="AC221" i="39"/>
  <c r="AH221" i="39"/>
  <c r="AF222" i="39"/>
  <c r="AC224" i="39"/>
  <c r="AD227" i="39"/>
  <c r="AD240" i="39"/>
  <c r="AD246" i="39"/>
  <c r="AC248" i="39"/>
  <c r="AH248" i="39"/>
  <c r="T101" i="39"/>
  <c r="AF14" i="39"/>
  <c r="AF13" i="39"/>
  <c r="AD13" i="39"/>
  <c r="AF64" i="39"/>
  <c r="AF12" i="39"/>
  <c r="T13" i="39"/>
  <c r="AC13" i="39"/>
  <c r="AH12" i="39"/>
  <c r="T12" i="39"/>
  <c r="AC12" i="39"/>
  <c r="AD12" i="39"/>
  <c r="AD16" i="39"/>
  <c r="AF16" i="39"/>
  <c r="AC16" i="39"/>
  <c r="T16" i="39"/>
  <c r="AH16" i="39"/>
  <c r="AH20" i="39"/>
  <c r="AH66" i="39"/>
  <c r="AF66" i="39"/>
  <c r="AD66" i="39"/>
  <c r="AC66" i="39"/>
  <c r="T66" i="39"/>
  <c r="T99" i="39"/>
  <c r="T11" i="39"/>
  <c r="AH30" i="39"/>
  <c r="AF40" i="39"/>
  <c r="AD40" i="39"/>
  <c r="AC40" i="39"/>
  <c r="T40" i="39"/>
  <c r="AH40" i="39"/>
  <c r="AF76" i="39"/>
  <c r="AD76" i="39"/>
  <c r="AC76" i="39"/>
  <c r="T76" i="39"/>
  <c r="AH76" i="39"/>
  <c r="AD11" i="39"/>
  <c r="T20" i="39"/>
  <c r="AC20" i="39"/>
  <c r="T14" i="39"/>
  <c r="AC14" i="39"/>
  <c r="AD20" i="39"/>
  <c r="AC31" i="39"/>
  <c r="T31" i="39"/>
  <c r="AF11" i="39"/>
  <c r="AD31" i="39"/>
  <c r="AH11" i="39"/>
  <c r="AF43" i="39"/>
  <c r="AF45" i="39"/>
  <c r="AH61" i="39"/>
  <c r="AF63" i="39"/>
  <c r="AD64" i="39"/>
  <c r="AH68" i="39"/>
  <c r="AD71" i="39"/>
  <c r="T72" i="39"/>
  <c r="T90" i="39"/>
  <c r="T182" i="39"/>
  <c r="T61" i="39"/>
  <c r="AC61" i="39"/>
  <c r="T67" i="39"/>
  <c r="AC67" i="39"/>
  <c r="AC68" i="39"/>
  <c r="AF96" i="39"/>
  <c r="T96" i="39"/>
  <c r="T178" i="39"/>
  <c r="T209" i="39"/>
  <c r="AD61" i="39"/>
  <c r="T62" i="39"/>
  <c r="AC62" i="39"/>
  <c r="AK63" i="39"/>
  <c r="AH64" i="39"/>
  <c r="AD67" i="39"/>
  <c r="AD68" i="39"/>
  <c r="T69" i="39"/>
  <c r="AC69" i="39"/>
  <c r="AH71" i="39"/>
  <c r="AD128" i="39"/>
  <c r="AH128" i="39"/>
  <c r="AC128" i="39"/>
  <c r="T128" i="39"/>
  <c r="AF128" i="39"/>
  <c r="T43" i="39"/>
  <c r="AC43" i="39"/>
  <c r="T45" i="39"/>
  <c r="AC45" i="39"/>
  <c r="AD62" i="39"/>
  <c r="T63" i="39"/>
  <c r="AC63" i="39"/>
  <c r="AD69" i="39"/>
  <c r="AK64" i="39"/>
  <c r="T70" i="39"/>
  <c r="AF88" i="39"/>
  <c r="AD88" i="39"/>
  <c r="AC88" i="39"/>
  <c r="T88" i="39"/>
  <c r="AH88" i="39"/>
  <c r="AH90" i="39"/>
  <c r="AF90" i="39"/>
  <c r="T92" i="39"/>
  <c r="AF92" i="39"/>
  <c r="AC102" i="39"/>
  <c r="T102" i="39"/>
  <c r="AC112" i="39"/>
  <c r="T112" i="39"/>
  <c r="AH112" i="39"/>
  <c r="AF112" i="39"/>
  <c r="T64" i="39"/>
  <c r="T71" i="39"/>
  <c r="AH104" i="39"/>
  <c r="AH107" i="39"/>
  <c r="AI174" i="39"/>
  <c r="K137" i="39"/>
  <c r="AH134" i="39"/>
  <c r="AF134" i="39"/>
  <c r="AD134" i="39"/>
  <c r="AD150" i="39"/>
  <c r="T150" i="39"/>
  <c r="AH150" i="39"/>
  <c r="AC127" i="39"/>
  <c r="T127" i="39"/>
  <c r="AC130" i="39"/>
  <c r="T130" i="39"/>
  <c r="AF130" i="39"/>
  <c r="K132" i="39"/>
  <c r="T132" i="39" s="1"/>
  <c r="K140" i="39"/>
  <c r="AF144" i="39"/>
  <c r="T144" i="39"/>
  <c r="AH144" i="39"/>
  <c r="AH93" i="39"/>
  <c r="AH100" i="39"/>
  <c r="K104" i="39"/>
  <c r="T110" i="39"/>
  <c r="AF127" i="39"/>
  <c r="T134" i="39"/>
  <c r="T149" i="39"/>
  <c r="F195" i="39"/>
  <c r="K187" i="39"/>
  <c r="K184" i="39"/>
  <c r="T184" i="39" s="1"/>
  <c r="AH94" i="39"/>
  <c r="AH98" i="39"/>
  <c r="AC104" i="39"/>
  <c r="AH105" i="39"/>
  <c r="T107" i="39"/>
  <c r="AC107" i="39"/>
  <c r="F108" i="39"/>
  <c r="AD110" i="39"/>
  <c r="AH129" i="39"/>
  <c r="AF129" i="39"/>
  <c r="AC129" i="39"/>
  <c r="AF135" i="39"/>
  <c r="AD135" i="39"/>
  <c r="AC135" i="39"/>
  <c r="T135" i="39"/>
  <c r="AH135" i="39"/>
  <c r="AH138" i="39"/>
  <c r="AF138" i="39"/>
  <c r="AD138" i="39"/>
  <c r="T138" i="39"/>
  <c r="AH153" i="39"/>
  <c r="AF153" i="39"/>
  <c r="AC153" i="39"/>
  <c r="T153" i="39"/>
  <c r="T166" i="39"/>
  <c r="AH109" i="39"/>
  <c r="AD129" i="39"/>
  <c r="T157" i="39"/>
  <c r="T159" i="39"/>
  <c r="T162" i="39"/>
  <c r="AF131" i="39"/>
  <c r="AD131" i="39"/>
  <c r="T131" i="39"/>
  <c r="AH131" i="39"/>
  <c r="AH183" i="39"/>
  <c r="AF183" i="39"/>
  <c r="AH215" i="39"/>
  <c r="AF215" i="39"/>
  <c r="AC215" i="39"/>
  <c r="T215" i="39"/>
  <c r="T94" i="39"/>
  <c r="T98" i="39"/>
  <c r="T105" i="39"/>
  <c r="F198" i="39"/>
  <c r="AH149" i="39"/>
  <c r="F152" i="39"/>
  <c r="N155" i="39" s="1"/>
  <c r="AC171" i="39"/>
  <c r="T171" i="39"/>
  <c r="AH171" i="39"/>
  <c r="AF171" i="39"/>
  <c r="T194" i="39"/>
  <c r="AC186" i="39"/>
  <c r="AH186" i="39"/>
  <c r="AF186" i="39"/>
  <c r="AD186" i="39"/>
  <c r="F199" i="39"/>
  <c r="AC193" i="39"/>
  <c r="T193" i="39"/>
  <c r="AH193" i="39"/>
  <c r="AF193" i="39"/>
  <c r="T205" i="39"/>
  <c r="AF247" i="39"/>
  <c r="AD247" i="39"/>
  <c r="AC247" i="39"/>
  <c r="T247" i="39"/>
  <c r="AH247" i="39"/>
  <c r="AF137" i="39"/>
  <c r="AH139" i="39"/>
  <c r="AH142" i="39"/>
  <c r="AH147" i="39"/>
  <c r="AD164" i="39"/>
  <c r="AH164" i="39"/>
  <c r="T165" i="39"/>
  <c r="T172" i="39"/>
  <c r="T190" i="39"/>
  <c r="AH190" i="39"/>
  <c r="AF249" i="39"/>
  <c r="AD249" i="39"/>
  <c r="AC249" i="39"/>
  <c r="T249" i="39"/>
  <c r="AH249" i="39"/>
  <c r="AH132" i="39"/>
  <c r="AF143" i="39"/>
  <c r="AH145" i="39"/>
  <c r="T146" i="39"/>
  <c r="AH148" i="39"/>
  <c r="AC168" i="39"/>
  <c r="T175" i="39"/>
  <c r="AF190" i="39"/>
  <c r="T136" i="39"/>
  <c r="AH137" i="39"/>
  <c r="AF140" i="39"/>
  <c r="AD146" i="39"/>
  <c r="T168" i="39"/>
  <c r="AD193" i="39"/>
  <c r="T185" i="39"/>
  <c r="T197" i="39"/>
  <c r="T145" i="39"/>
  <c r="AD147" i="39"/>
  <c r="T148" i="39"/>
  <c r="AD168" i="39"/>
  <c r="AH168" i="39"/>
  <c r="T170" i="39"/>
  <c r="T174" i="39"/>
  <c r="AH174" i="39"/>
  <c r="AF174" i="39"/>
  <c r="K179" i="39"/>
  <c r="T179" i="39" s="1"/>
  <c r="T203" i="39"/>
  <c r="AD228" i="39"/>
  <c r="AC228" i="39"/>
  <c r="T228" i="39"/>
  <c r="AH228" i="39"/>
  <c r="AF228" i="39"/>
  <c r="T169" i="39"/>
  <c r="AC169" i="39"/>
  <c r="AH176" i="39"/>
  <c r="AF180" i="39"/>
  <c r="AH181" i="39"/>
  <c r="AD182" i="39"/>
  <c r="AH184" i="39"/>
  <c r="AH187" i="39"/>
  <c r="AH191" i="39"/>
  <c r="AD196" i="39"/>
  <c r="T204" i="39"/>
  <c r="T224" i="39"/>
  <c r="AF170" i="39"/>
  <c r="AH177" i="39"/>
  <c r="AD179" i="39"/>
  <c r="AI181" i="39"/>
  <c r="AC188" i="39"/>
  <c r="AD208" i="39"/>
  <c r="AC208" i="39"/>
  <c r="T208" i="39"/>
  <c r="AH208" i="39"/>
  <c r="T210" i="39"/>
  <c r="T217" i="39"/>
  <c r="K181" i="39"/>
  <c r="AF182" i="39"/>
  <c r="AD188" i="39"/>
  <c r="AC214" i="39"/>
  <c r="T214" i="39"/>
  <c r="AI214" i="39"/>
  <c r="AH214" i="39"/>
  <c r="AH254" i="39"/>
  <c r="AF254" i="39"/>
  <c r="AD254" i="39"/>
  <c r="AC254" i="39"/>
  <c r="T254" i="39"/>
  <c r="T176" i="39"/>
  <c r="AF179" i="39"/>
  <c r="T212" i="39"/>
  <c r="T213" i="39"/>
  <c r="AD230" i="39"/>
  <c r="AC230" i="39"/>
  <c r="T230" i="39"/>
  <c r="AH230" i="39"/>
  <c r="T167" i="39"/>
  <c r="T177" i="39"/>
  <c r="AC177" i="39"/>
  <c r="AF230" i="39"/>
  <c r="AF252" i="39"/>
  <c r="AD252" i="39"/>
  <c r="T252" i="39"/>
  <c r="T196" i="39"/>
  <c r="AH196" i="39"/>
  <c r="T200" i="39"/>
  <c r="AC211" i="39"/>
  <c r="T211" i="39"/>
  <c r="AH211" i="39"/>
  <c r="AD216" i="39"/>
  <c r="AC216" i="39"/>
  <c r="T216" i="39"/>
  <c r="AK216" i="39"/>
  <c r="AK218" i="39" s="1"/>
  <c r="AH216" i="39"/>
  <c r="AD229" i="39"/>
  <c r="AC229" i="39"/>
  <c r="T229" i="39"/>
  <c r="AH229" i="39"/>
  <c r="AD234" i="39"/>
  <c r="AC234" i="39"/>
  <c r="T234" i="39"/>
  <c r="AH234" i="39"/>
  <c r="T236" i="39"/>
  <c r="AD197" i="39"/>
  <c r="AH204" i="39"/>
  <c r="AD205" i="39"/>
  <c r="AF207" i="39"/>
  <c r="AF224" i="39"/>
  <c r="AD226" i="39"/>
  <c r="AH233" i="39"/>
  <c r="T235" i="39"/>
  <c r="AC235" i="39"/>
  <c r="AF246" i="39"/>
  <c r="AF248" i="39"/>
  <c r="AD251" i="39"/>
  <c r="T221" i="39"/>
  <c r="T222" i="39"/>
  <c r="T223" i="39"/>
  <c r="T231" i="39"/>
  <c r="AD232" i="39"/>
  <c r="AD235" i="39"/>
  <c r="AH250" i="39"/>
  <c r="AF226" i="39"/>
  <c r="AD231" i="39"/>
  <c r="AF251" i="39"/>
  <c r="T233" i="39"/>
  <c r="AF235" i="39"/>
  <c r="AH213" i="39"/>
  <c r="T250" i="39"/>
  <c r="H201" i="39" l="1"/>
  <c r="T232" i="39"/>
  <c r="L201" i="39"/>
  <c r="I201" i="39"/>
  <c r="M155" i="39"/>
  <c r="T218" i="39"/>
  <c r="O155" i="39"/>
  <c r="I155" i="39"/>
  <c r="Q201" i="39"/>
  <c r="S155" i="39"/>
  <c r="R155" i="39"/>
  <c r="L155" i="39"/>
  <c r="J155" i="39"/>
  <c r="O201" i="39"/>
  <c r="J201" i="39"/>
  <c r="N201" i="39"/>
  <c r="S201" i="39"/>
  <c r="M201" i="39"/>
  <c r="P155" i="39"/>
  <c r="Q155" i="39"/>
  <c r="R201" i="39"/>
  <c r="P201" i="39"/>
  <c r="H155" i="39"/>
  <c r="G155" i="39"/>
  <c r="T74" i="39"/>
  <c r="T17" i="39"/>
  <c r="AF17" i="39"/>
  <c r="AD17" i="39"/>
  <c r="I35" i="39"/>
  <c r="S35" i="39"/>
  <c r="H35" i="39"/>
  <c r="N35" i="39"/>
  <c r="R35" i="39"/>
  <c r="J35" i="39"/>
  <c r="O35" i="39"/>
  <c r="L35" i="39"/>
  <c r="Q35" i="39"/>
  <c r="K35" i="39"/>
  <c r="P35" i="39"/>
  <c r="G35" i="39"/>
  <c r="AD256" i="39"/>
  <c r="AF256" i="39"/>
  <c r="AD237" i="39"/>
  <c r="AF237" i="39"/>
  <c r="T256" i="39"/>
  <c r="T237" i="39"/>
  <c r="AH218" i="39"/>
  <c r="AC218" i="39"/>
  <c r="T173" i="39"/>
  <c r="AF74" i="39"/>
  <c r="AD74" i="39"/>
  <c r="AK74" i="39"/>
  <c r="AC28" i="39"/>
  <c r="AC36" i="39" s="1"/>
  <c r="T28" i="39"/>
  <c r="T35" i="39" s="1"/>
  <c r="T183" i="39"/>
  <c r="AY32" i="39"/>
  <c r="AY30" i="39"/>
  <c r="AY250" i="39"/>
  <c r="AZ32" i="39"/>
  <c r="AY231" i="39"/>
  <c r="AY215" i="39"/>
  <c r="AY210" i="39"/>
  <c r="AZ30" i="39"/>
  <c r="AY55" i="39"/>
  <c r="AY69" i="39"/>
  <c r="AY67" i="39"/>
  <c r="AD28" i="39"/>
  <c r="AD36" i="39" s="1"/>
  <c r="AF28" i="39"/>
  <c r="AH28" i="39"/>
  <c r="AH226" i="39"/>
  <c r="AC226" i="39"/>
  <c r="AC198" i="39"/>
  <c r="T198" i="39"/>
  <c r="AH198" i="39"/>
  <c r="AF198" i="39"/>
  <c r="T104" i="39"/>
  <c r="T181" i="39"/>
  <c r="T187" i="39"/>
  <c r="AC108" i="39"/>
  <c r="T108" i="39"/>
  <c r="AH108" i="39"/>
  <c r="F111" i="39"/>
  <c r="S114" i="39" s="1"/>
  <c r="K143" i="39"/>
  <c r="K142" i="39"/>
  <c r="T140" i="39"/>
  <c r="K186" i="39"/>
  <c r="K188" i="39"/>
  <c r="K189" i="39"/>
  <c r="T137" i="39"/>
  <c r="AH199" i="39"/>
  <c r="AD199" i="39"/>
  <c r="AC199" i="39"/>
  <c r="AK199" i="39"/>
  <c r="AF199" i="39"/>
  <c r="T199" i="39"/>
  <c r="AC152" i="39"/>
  <c r="T152" i="39"/>
  <c r="AH152" i="39"/>
  <c r="AY131" i="39" s="1"/>
  <c r="AF152" i="39"/>
  <c r="AH195" i="39"/>
  <c r="T195" i="39"/>
  <c r="AC195" i="39"/>
  <c r="L114" i="39" l="1"/>
  <c r="K155" i="39"/>
  <c r="R114" i="39"/>
  <c r="O114" i="39"/>
  <c r="P114" i="39"/>
  <c r="J114" i="39"/>
  <c r="K114" i="39"/>
  <c r="I114" i="39"/>
  <c r="N114" i="39"/>
  <c r="H114" i="39"/>
  <c r="M114" i="39"/>
  <c r="G114" i="39"/>
  <c r="AD35" i="39"/>
  <c r="AF36" i="39"/>
  <c r="AF35" i="39"/>
  <c r="AC35" i="39"/>
  <c r="D46" i="40"/>
  <c r="AH201" i="39"/>
  <c r="AK201" i="39"/>
  <c r="AH155" i="39"/>
  <c r="T36" i="39"/>
  <c r="AY172" i="39"/>
  <c r="T188" i="39"/>
  <c r="T142" i="39"/>
  <c r="T143" i="39"/>
  <c r="K191" i="39"/>
  <c r="K201" i="39" s="1"/>
  <c r="T189" i="39"/>
  <c r="T186" i="39"/>
  <c r="AF111" i="39"/>
  <c r="AC111" i="39"/>
  <c r="T111" i="39"/>
  <c r="AH111" i="39"/>
  <c r="AY91" i="39" s="1"/>
  <c r="T155" i="39" l="1"/>
  <c r="T156" i="39" s="1"/>
  <c r="AH114" i="39"/>
  <c r="T114" i="39"/>
  <c r="T115" i="39" s="1"/>
  <c r="T191" i="39"/>
  <c r="T201" i="39" s="1"/>
  <c r="AJ21" i="39" l="1"/>
  <c r="AJ35" i="39" s="1"/>
  <c r="AJ245" i="39"/>
  <c r="AJ89" i="39" l="1"/>
  <c r="AJ170" i="39"/>
  <c r="AJ129" i="39"/>
  <c r="AJ248" i="39"/>
  <c r="AJ256" i="39" s="1"/>
  <c r="AJ210" i="39"/>
  <c r="AJ51" i="39"/>
  <c r="AJ229" i="39"/>
  <c r="BB21" i="39"/>
  <c r="AJ36" i="39"/>
  <c r="AY241" i="39" l="1"/>
  <c r="AZ21" i="39"/>
  <c r="AJ237" i="39"/>
  <c r="AY222" i="39"/>
  <c r="AK244" i="39"/>
  <c r="AK256" i="39" s="1"/>
  <c r="AY200" i="39"/>
  <c r="AJ218" i="39" l="1"/>
  <c r="AJ119" i="39"/>
  <c r="AJ79" i="39"/>
  <c r="AJ160" i="39"/>
  <c r="AJ201" i="39" l="1"/>
  <c r="AY159" i="39"/>
  <c r="AY78" i="39"/>
  <c r="AJ114" i="39"/>
  <c r="AJ155" i="39"/>
  <c r="AY118" i="39"/>
  <c r="Y21" i="39" l="1"/>
  <c r="Y11" i="39"/>
  <c r="Y14" i="39"/>
  <c r="Y22" i="39"/>
  <c r="Y20" i="39"/>
  <c r="Y45" i="39"/>
  <c r="Y25" i="39"/>
  <c r="Y32" i="39"/>
  <c r="Y31" i="39"/>
  <c r="Y16" i="39"/>
  <c r="Y77" i="39"/>
  <c r="Y12" i="39"/>
  <c r="Y26" i="39"/>
  <c r="Y245" i="39"/>
  <c r="Y254" i="39"/>
  <c r="Y244" i="39"/>
  <c r="Y209" i="39"/>
  <c r="Y253" i="39"/>
  <c r="Y214" i="39"/>
  <c r="Y196" i="39"/>
  <c r="Y169" i="39"/>
  <c r="Y182" i="39"/>
  <c r="Y194" i="39"/>
  <c r="Y220" i="39"/>
  <c r="Y168" i="39"/>
  <c r="Y144" i="39"/>
  <c r="Y135" i="39"/>
  <c r="Y165" i="39"/>
  <c r="Y140" i="39"/>
  <c r="Y143" i="39"/>
  <c r="Y163" i="39"/>
  <c r="Y187" i="39"/>
  <c r="Y148" i="39"/>
  <c r="Y158" i="39"/>
  <c r="Y110" i="39"/>
  <c r="Y166" i="39"/>
  <c r="Y125" i="39"/>
  <c r="Y106" i="39"/>
  <c r="Y87" i="39"/>
  <c r="Y80" i="39"/>
  <c r="Y105" i="39"/>
  <c r="Y136" i="39"/>
  <c r="Y129" i="39"/>
  <c r="Y76" i="39"/>
  <c r="Y48" i="39"/>
  <c r="Y66" i="39"/>
  <c r="Y29" i="39"/>
  <c r="Y100" i="39"/>
  <c r="Y47" i="39"/>
  <c r="Y65" i="39"/>
  <c r="Y38" i="39"/>
  <c r="Y81" i="39"/>
  <c r="Y57" i="39"/>
  <c r="Y56" i="39"/>
  <c r="Y69" i="39"/>
  <c r="Y8" i="39"/>
  <c r="Y40" i="39"/>
  <c r="Y30" i="39"/>
  <c r="Y252" i="39"/>
  <c r="Y231" i="39"/>
  <c r="Y235" i="39"/>
  <c r="Y239" i="39"/>
  <c r="Y205" i="39"/>
  <c r="Y248" i="39"/>
  <c r="Y250" i="39"/>
  <c r="Y175" i="39"/>
  <c r="Y242" i="39"/>
  <c r="Y216" i="39"/>
  <c r="Y240" i="39"/>
  <c r="Y200" i="39"/>
  <c r="Y161" i="39"/>
  <c r="Y154" i="39"/>
  <c r="Y130" i="39"/>
  <c r="Y162" i="39"/>
  <c r="Y191" i="39"/>
  <c r="Y133" i="39"/>
  <c r="Y157" i="39"/>
  <c r="Y176" i="39"/>
  <c r="Y145" i="39"/>
  <c r="Y151" i="39"/>
  <c r="Y96" i="39"/>
  <c r="Y101" i="39"/>
  <c r="Y122" i="39"/>
  <c r="Y103" i="39"/>
  <c r="Y134" i="39"/>
  <c r="Y124" i="39"/>
  <c r="Y98" i="39"/>
  <c r="Y121" i="39"/>
  <c r="Y123" i="39"/>
  <c r="Y68" i="39"/>
  <c r="Y44" i="39"/>
  <c r="Y54" i="39"/>
  <c r="Y170" i="39"/>
  <c r="Y89" i="39"/>
  <c r="Y82" i="39"/>
  <c r="Y34" i="39"/>
  <c r="Y78" i="39"/>
  <c r="Y50" i="39"/>
  <c r="Y49" i="39"/>
  <c r="Y62" i="39"/>
  <c r="Y63" i="39"/>
  <c r="Y9" i="39"/>
  <c r="Y13" i="39"/>
  <c r="Y10" i="39"/>
  <c r="Y23" i="39"/>
  <c r="Y249" i="39"/>
  <c r="Y212" i="39"/>
  <c r="Y217" i="39"/>
  <c r="Y226" i="39"/>
  <c r="Y241" i="39"/>
  <c r="Y246" i="39"/>
  <c r="Y243" i="39"/>
  <c r="Y172" i="39"/>
  <c r="Y193" i="39"/>
  <c r="Y207" i="39"/>
  <c r="Y230" i="39"/>
  <c r="Y177" i="39"/>
  <c r="Y150" i="39"/>
  <c r="Y141" i="39"/>
  <c r="Y127" i="39"/>
  <c r="Y159" i="39"/>
  <c r="Y178" i="39"/>
  <c r="Y233" i="39"/>
  <c r="Y137" i="39"/>
  <c r="Y164" i="39"/>
  <c r="Y132" i="39"/>
  <c r="Y147" i="39"/>
  <c r="Y92" i="39"/>
  <c r="Y99" i="39"/>
  <c r="Y119" i="39"/>
  <c r="Y95" i="39"/>
  <c r="Y109" i="39"/>
  <c r="Y118" i="39"/>
  <c r="Y94" i="39"/>
  <c r="Y139" i="39"/>
  <c r="Y117" i="39"/>
  <c r="Y247" i="39"/>
  <c r="Y203" i="39"/>
  <c r="Y189" i="39"/>
  <c r="Y146" i="39"/>
  <c r="Y153" i="39"/>
  <c r="Y225" i="39"/>
  <c r="Y113" i="39"/>
  <c r="Y142" i="39"/>
  <c r="Y61" i="39"/>
  <c r="Y58" i="39"/>
  <c r="Y64" i="39"/>
  <c r="Y93" i="39"/>
  <c r="Y6" i="39"/>
  <c r="Y24" i="39"/>
  <c r="Y33" i="39"/>
  <c r="Y185" i="39"/>
  <c r="Y206" i="39"/>
  <c r="Y224" i="39"/>
  <c r="Y204" i="39"/>
  <c r="Y138" i="39"/>
  <c r="Y184" i="39"/>
  <c r="Y126" i="39"/>
  <c r="Y91" i="39"/>
  <c r="Y131" i="39"/>
  <c r="Y104" i="39"/>
  <c r="Y120" i="39"/>
  <c r="Y79" i="39"/>
  <c r="Y208" i="39"/>
  <c r="Y181" i="39"/>
  <c r="Y7" i="39"/>
  <c r="Y27" i="39"/>
  <c r="Y43" i="39"/>
  <c r="Y251" i="39"/>
  <c r="Y227" i="39"/>
  <c r="Y180" i="39"/>
  <c r="Y173" i="39"/>
  <c r="Y236" i="39"/>
  <c r="Y84" i="39"/>
  <c r="Y90" i="39"/>
  <c r="Y102" i="39"/>
  <c r="Y86" i="39"/>
  <c r="Y107" i="39"/>
  <c r="Y72" i="39"/>
  <c r="Y83" i="39"/>
  <c r="Y70" i="39"/>
  <c r="Y5" i="39"/>
  <c r="Y97" i="39"/>
  <c r="Y149" i="39"/>
  <c r="Y67" i="39"/>
  <c r="Y71" i="39"/>
  <c r="Y85" i="39"/>
  <c r="Y188" i="39"/>
  <c r="Y232" i="39"/>
  <c r="Y234" i="39"/>
  <c r="Y223" i="39"/>
  <c r="Y221" i="39"/>
  <c r="Y167" i="39"/>
  <c r="Y46" i="39"/>
  <c r="Y190" i="39"/>
  <c r="Y215" i="39"/>
  <c r="Y160" i="39"/>
  <c r="Y51" i="39"/>
  <c r="Y116" i="39"/>
  <c r="Y15" i="39"/>
  <c r="Y183" i="39"/>
  <c r="Y210" i="39"/>
  <c r="Y179" i="39"/>
  <c r="Y192" i="39"/>
  <c r="Y222" i="39"/>
  <c r="Y174" i="39"/>
  <c r="Y186" i="39"/>
  <c r="Y171" i="39"/>
  <c r="Y255" i="39"/>
  <c r="Y128" i="39"/>
  <c r="Y73" i="39"/>
  <c r="Y88" i="39"/>
  <c r="Y211" i="39"/>
  <c r="Y228" i="39"/>
  <c r="Y112" i="39"/>
  <c r="Y197" i="39"/>
  <c r="Y213" i="39"/>
  <c r="Y229" i="39"/>
  <c r="Y195" i="39"/>
  <c r="Y199" i="39"/>
  <c r="Y28" i="39"/>
  <c r="Y108" i="39"/>
  <c r="Y152" i="39"/>
  <c r="Y198" i="39"/>
  <c r="Y111" i="39"/>
  <c r="AA27" i="39"/>
  <c r="AA33" i="39"/>
  <c r="AA67" i="39"/>
  <c r="AA21" i="39"/>
  <c r="AA48" i="39"/>
  <c r="AA14" i="39"/>
  <c r="AA22" i="39"/>
  <c r="AA11" i="39"/>
  <c r="AA44" i="39"/>
  <c r="AA16" i="39"/>
  <c r="AA25" i="39"/>
  <c r="AA76" i="39"/>
  <c r="AA15" i="39"/>
  <c r="AA20" i="39"/>
  <c r="AA31" i="39"/>
  <c r="AA24" i="39"/>
  <c r="AA32" i="39"/>
  <c r="AA29" i="39"/>
  <c r="AA26" i="39"/>
  <c r="AA215" i="39"/>
  <c r="AA246" i="39"/>
  <c r="AA236" i="39"/>
  <c r="AA220" i="39"/>
  <c r="AA242" i="39"/>
  <c r="AA192" i="39"/>
  <c r="AA194" i="39"/>
  <c r="AA183" i="39"/>
  <c r="AA190" i="39"/>
  <c r="AA176" i="39"/>
  <c r="AA188" i="39"/>
  <c r="AA149" i="39"/>
  <c r="AA143" i="39"/>
  <c r="AA137" i="39"/>
  <c r="AA147" i="39"/>
  <c r="AA136" i="39"/>
  <c r="AA154" i="39"/>
  <c r="AA125" i="39"/>
  <c r="AA106" i="39"/>
  <c r="AA87" i="39"/>
  <c r="AA141" i="39"/>
  <c r="AA171" i="39"/>
  <c r="AA112" i="39"/>
  <c r="AA150" i="39"/>
  <c r="AA89" i="39"/>
  <c r="AA129" i="39"/>
  <c r="AA97" i="39"/>
  <c r="AA116" i="39"/>
  <c r="AA161" i="39"/>
  <c r="AA58" i="39"/>
  <c r="AA72" i="39"/>
  <c r="AA81" i="39"/>
  <c r="AA57" i="39"/>
  <c r="AA56" i="39"/>
  <c r="AA88" i="39"/>
  <c r="AA62" i="39"/>
  <c r="AA99" i="39"/>
  <c r="AA5" i="39"/>
  <c r="AA40" i="39"/>
  <c r="AA61" i="39"/>
  <c r="AA162" i="39"/>
  <c r="AA205" i="39"/>
  <c r="AA173" i="39"/>
  <c r="AA251" i="39"/>
  <c r="AA241" i="39"/>
  <c r="AA207" i="39"/>
  <c r="AA233" i="39"/>
  <c r="AA216" i="39"/>
  <c r="AA240" i="39"/>
  <c r="AA254" i="39"/>
  <c r="AA232" i="39"/>
  <c r="AA180" i="39"/>
  <c r="AA177" i="39"/>
  <c r="AA221" i="39"/>
  <c r="AA175" i="39"/>
  <c r="AA140" i="39"/>
  <c r="AA133" i="39"/>
  <c r="AA148" i="39"/>
  <c r="AA142" i="39"/>
  <c r="AA212" i="39"/>
  <c r="AA146" i="39"/>
  <c r="AA122" i="39"/>
  <c r="AA103" i="39"/>
  <c r="AA83" i="39"/>
  <c r="AA134" i="39"/>
  <c r="AA144" i="39"/>
  <c r="AA105" i="39"/>
  <c r="AA121" i="39"/>
  <c r="AA86" i="39"/>
  <c r="AA123" i="39"/>
  <c r="AA85" i="39"/>
  <c r="AA107" i="39"/>
  <c r="AA135" i="39"/>
  <c r="AA47" i="39"/>
  <c r="AA65" i="39"/>
  <c r="AA38" i="39"/>
  <c r="AA78" i="39"/>
  <c r="AA50" i="39"/>
  <c r="AA49" i="39"/>
  <c r="AA84" i="39"/>
  <c r="AA45" i="39"/>
  <c r="AA66" i="39"/>
  <c r="AA6" i="39"/>
  <c r="AA166" i="39"/>
  <c r="AA30" i="39"/>
  <c r="AA9" i="39"/>
  <c r="AA12" i="39"/>
  <c r="AA23" i="39"/>
  <c r="AA244" i="39"/>
  <c r="AA253" i="39"/>
  <c r="AA250" i="39"/>
  <c r="AA230" i="39"/>
  <c r="AA208" i="39"/>
  <c r="AA223" i="39"/>
  <c r="AA206" i="39"/>
  <c r="AA217" i="39"/>
  <c r="AA174" i="39"/>
  <c r="AA249" i="39"/>
  <c r="AA231" i="39"/>
  <c r="AA165" i="39"/>
  <c r="AA252" i="39"/>
  <c r="AA126" i="39"/>
  <c r="AA145" i="39"/>
  <c r="AA139" i="39"/>
  <c r="AA196" i="39"/>
  <c r="AA130" i="39"/>
  <c r="AA119" i="39"/>
  <c r="AA95" i="39"/>
  <c r="AA235" i="39"/>
  <c r="AA128" i="39"/>
  <c r="AA124" i="39"/>
  <c r="AA98" i="39"/>
  <c r="AA100" i="39"/>
  <c r="AA169" i="39"/>
  <c r="AA117" i="39"/>
  <c r="AA82" i="39"/>
  <c r="AA168" i="39"/>
  <c r="AA80" i="39"/>
  <c r="AA96" i="39"/>
  <c r="AA34" i="39"/>
  <c r="AA71" i="39"/>
  <c r="AA90" i="39"/>
  <c r="AA77" i="39"/>
  <c r="AA43" i="39"/>
  <c r="AA104" i="39"/>
  <c r="AA54" i="39"/>
  <c r="AA7" i="39"/>
  <c r="AA68" i="39"/>
  <c r="AA182" i="39"/>
  <c r="AA187" i="39"/>
  <c r="AA160" i="39"/>
  <c r="AA164" i="39"/>
  <c r="AA191" i="39"/>
  <c r="AA178" i="39"/>
  <c r="AA243" i="39"/>
  <c r="AA204" i="39"/>
  <c r="AA222" i="39"/>
  <c r="AA132" i="39"/>
  <c r="AA113" i="39"/>
  <c r="AA118" i="39"/>
  <c r="AA102" i="39"/>
  <c r="AA79" i="39"/>
  <c r="AA70" i="39"/>
  <c r="AA101" i="39"/>
  <c r="AA197" i="39"/>
  <c r="AA214" i="39"/>
  <c r="AA210" i="39"/>
  <c r="AA193" i="39"/>
  <c r="AA127" i="39"/>
  <c r="AA73" i="39"/>
  <c r="AA228" i="39"/>
  <c r="AA225" i="39"/>
  <c r="AA186" i="39"/>
  <c r="AA159" i="39"/>
  <c r="AA151" i="39"/>
  <c r="AA91" i="39"/>
  <c r="AA94" i="39"/>
  <c r="AA120" i="39"/>
  <c r="AA46" i="39"/>
  <c r="AA92" i="39"/>
  <c r="AA51" i="39"/>
  <c r="AA157" i="39"/>
  <c r="AA184" i="39"/>
  <c r="AA209" i="39"/>
  <c r="AA226" i="39"/>
  <c r="AA234" i="39"/>
  <c r="AA227" i="39"/>
  <c r="AA224" i="39"/>
  <c r="AA131" i="39"/>
  <c r="AA213" i="39"/>
  <c r="AA13" i="39"/>
  <c r="AA239" i="39"/>
  <c r="AA255" i="39"/>
  <c r="AA247" i="39"/>
  <c r="AA153" i="39"/>
  <c r="AA172" i="39"/>
  <c r="AA179" i="39"/>
  <c r="AA93" i="39"/>
  <c r="AA110" i="39"/>
  <c r="AA138" i="39"/>
  <c r="AA63" i="39"/>
  <c r="AA8" i="39"/>
  <c r="AA189" i="39"/>
  <c r="AA158" i="39"/>
  <c r="AA181" i="39"/>
  <c r="AA200" i="39"/>
  <c r="AA163" i="39"/>
  <c r="AA185" i="39"/>
  <c r="AA203" i="39"/>
  <c r="AA211" i="39"/>
  <c r="AA10" i="39"/>
  <c r="AA248" i="39"/>
  <c r="AA245" i="39"/>
  <c r="AA167" i="39"/>
  <c r="AA109" i="39"/>
  <c r="AA64" i="39"/>
  <c r="AA69" i="39"/>
  <c r="AA170" i="39"/>
  <c r="AA229" i="39"/>
  <c r="AA198" i="39"/>
  <c r="AA28" i="39"/>
  <c r="AA152" i="39"/>
  <c r="AA108" i="39"/>
  <c r="AA199" i="39"/>
  <c r="AA195" i="39"/>
  <c r="AA111" i="39"/>
  <c r="Y35" i="39" l="1"/>
  <c r="AA35" i="39"/>
  <c r="AA17" i="39"/>
  <c r="Y17" i="39"/>
  <c r="AY124" i="39"/>
  <c r="AY82" i="39"/>
  <c r="BB27" i="39"/>
  <c r="AY25" i="39"/>
  <c r="AA36" i="39"/>
  <c r="AY208" i="39"/>
  <c r="AA218" i="39"/>
  <c r="AY64" i="39"/>
  <c r="AA74" i="39"/>
  <c r="Y74" i="39"/>
  <c r="AY62" i="39"/>
  <c r="Y256" i="39"/>
  <c r="AY245" i="39"/>
  <c r="AA201" i="39"/>
  <c r="AY165" i="39"/>
  <c r="AY206" i="39"/>
  <c r="Y218" i="39"/>
  <c r="AA256" i="39"/>
  <c r="AY247" i="39"/>
  <c r="AA114" i="39"/>
  <c r="AY84" i="39"/>
  <c r="Y155" i="39"/>
  <c r="AY163" i="39"/>
  <c r="Y201" i="39"/>
  <c r="Y36" i="39"/>
  <c r="BB25" i="39"/>
  <c r="AH14" i="39"/>
  <c r="AH17" i="39" s="1"/>
  <c r="AY27" i="39"/>
  <c r="AA155" i="39"/>
  <c r="AA237" i="39"/>
  <c r="AY228" i="39"/>
  <c r="AZ27" i="39"/>
  <c r="AY122" i="39"/>
  <c r="Y114" i="39"/>
  <c r="Y237" i="39"/>
  <c r="AY226" i="39"/>
  <c r="AZ25" i="39"/>
  <c r="AF196" i="39"/>
  <c r="AF110" i="39"/>
  <c r="AF149" i="39"/>
  <c r="AF214" i="39"/>
  <c r="AF213" i="39"/>
  <c r="AF211" i="39"/>
  <c r="AF109" i="39"/>
  <c r="AF150" i="39"/>
  <c r="AF212" i="39"/>
  <c r="AF197" i="39"/>
  <c r="AF151" i="39"/>
  <c r="AF108" i="39"/>
  <c r="AF195" i="39"/>
  <c r="AF114" i="39" l="1"/>
  <c r="AH31" i="39"/>
  <c r="AH242" i="39"/>
  <c r="AH256" i="39" s="1"/>
  <c r="AH67" i="39"/>
  <c r="AH223" i="39"/>
  <c r="AH237" i="39" s="1"/>
  <c r="AB13" i="39"/>
  <c r="AB7" i="39"/>
  <c r="AB8" i="39"/>
  <c r="AB15" i="39"/>
  <c r="AB51" i="39"/>
  <c r="AB27" i="39"/>
  <c r="AB70" i="39"/>
  <c r="AB24" i="39"/>
  <c r="AB16" i="39"/>
  <c r="AB20" i="39"/>
  <c r="AB11" i="39"/>
  <c r="AB66" i="39"/>
  <c r="AB14" i="39"/>
  <c r="AB22" i="39"/>
  <c r="AB40" i="39"/>
  <c r="AB29" i="39"/>
  <c r="AB31" i="39"/>
  <c r="AB241" i="39"/>
  <c r="AB246" i="39"/>
  <c r="AB211" i="39"/>
  <c r="AB255" i="39"/>
  <c r="AB249" i="39"/>
  <c r="AB212" i="39"/>
  <c r="AB244" i="39"/>
  <c r="AB200" i="39"/>
  <c r="AB175" i="39"/>
  <c r="AB251" i="39"/>
  <c r="AB147" i="39"/>
  <c r="AB182" i="39"/>
  <c r="AB171" i="39"/>
  <c r="AB131" i="39"/>
  <c r="AB109" i="39"/>
  <c r="AB118" i="39"/>
  <c r="AB94" i="39"/>
  <c r="AB86" i="39"/>
  <c r="AB97" i="39"/>
  <c r="AB120" i="39"/>
  <c r="AB192" i="39"/>
  <c r="AB135" i="39"/>
  <c r="AB91" i="39"/>
  <c r="AB78" i="39"/>
  <c r="AB50" i="39"/>
  <c r="AB127" i="39"/>
  <c r="AB87" i="39"/>
  <c r="AB45" i="39"/>
  <c r="AB69" i="39"/>
  <c r="AB106" i="39"/>
  <c r="AB61" i="39"/>
  <c r="AB58" i="39"/>
  <c r="AB10" i="39"/>
  <c r="AB209" i="39"/>
  <c r="AB101" i="39"/>
  <c r="AB213" i="39"/>
  <c r="AB226" i="39"/>
  <c r="AB21" i="39"/>
  <c r="AB25" i="39"/>
  <c r="AB30" i="39"/>
  <c r="AB92" i="39"/>
  <c r="AB203" i="39"/>
  <c r="AB207" i="39"/>
  <c r="AB233" i="39"/>
  <c r="AB242" i="39"/>
  <c r="AB247" i="39"/>
  <c r="AB206" i="39"/>
  <c r="AB180" i="39"/>
  <c r="AB176" i="39"/>
  <c r="AB172" i="39"/>
  <c r="AB129" i="39"/>
  <c r="AB139" i="39"/>
  <c r="AB151" i="39"/>
  <c r="AB150" i="39"/>
  <c r="AB149" i="39"/>
  <c r="AB90" i="39"/>
  <c r="AB112" i="39"/>
  <c r="AB121" i="39"/>
  <c r="AB197" i="39"/>
  <c r="AB85" i="39"/>
  <c r="AB116" i="39"/>
  <c r="AB133" i="39"/>
  <c r="AB126" i="39"/>
  <c r="AB65" i="39"/>
  <c r="AB38" i="39"/>
  <c r="AB71" i="39"/>
  <c r="AB33" i="39"/>
  <c r="AB83" i="39"/>
  <c r="AB122" i="39"/>
  <c r="AB84" i="39"/>
  <c r="AB43" i="39"/>
  <c r="AB62" i="39"/>
  <c r="AB76" i="39"/>
  <c r="AB48" i="39"/>
  <c r="AB47" i="39"/>
  <c r="AB12" i="39"/>
  <c r="AB99" i="39"/>
  <c r="AB165" i="39"/>
  <c r="AB102" i="39"/>
  <c r="AB163" i="39"/>
  <c r="AB9" i="39"/>
  <c r="AB253" i="39"/>
  <c r="AB250" i="39"/>
  <c r="AB204" i="39"/>
  <c r="AB240" i="39"/>
  <c r="AB245" i="39"/>
  <c r="AB194" i="39"/>
  <c r="AB190" i="39"/>
  <c r="AB178" i="39"/>
  <c r="AB185" i="39"/>
  <c r="AB164" i="39"/>
  <c r="AB128" i="39"/>
  <c r="AB136" i="39"/>
  <c r="AB146" i="39"/>
  <c r="AB141" i="39"/>
  <c r="AB80" i="39"/>
  <c r="AB105" i="39"/>
  <c r="AB93" i="39"/>
  <c r="AB123" i="39"/>
  <c r="AB82" i="39"/>
  <c r="AB107" i="39"/>
  <c r="AB110" i="39"/>
  <c r="AB125" i="39"/>
  <c r="AB34" i="39"/>
  <c r="AB64" i="39"/>
  <c r="AB32" i="39"/>
  <c r="AB56" i="39"/>
  <c r="AB113" i="39"/>
  <c r="AB77" i="39"/>
  <c r="AB154" i="39"/>
  <c r="AB68" i="39"/>
  <c r="AB44" i="39"/>
  <c r="AB5" i="39"/>
  <c r="AB26" i="39"/>
  <c r="AB145" i="39"/>
  <c r="AB167" i="39"/>
  <c r="AB159" i="39"/>
  <c r="AB168" i="39"/>
  <c r="AB174" i="39"/>
  <c r="AB220" i="39"/>
  <c r="AB232" i="39"/>
  <c r="AB243" i="39"/>
  <c r="AB254" i="39"/>
  <c r="AB148" i="39"/>
  <c r="AB134" i="39"/>
  <c r="AB117" i="39"/>
  <c r="AB96" i="39"/>
  <c r="AB130" i="39"/>
  <c r="AB95" i="39"/>
  <c r="AB6" i="39"/>
  <c r="AB23" i="39"/>
  <c r="AB100" i="39"/>
  <c r="AB162" i="39"/>
  <c r="AB161" i="39"/>
  <c r="AB158" i="39"/>
  <c r="AB170" i="39"/>
  <c r="AB205" i="39"/>
  <c r="AB234" i="39"/>
  <c r="AB223" i="39"/>
  <c r="AB144" i="39"/>
  <c r="AB63" i="39"/>
  <c r="AB230" i="39"/>
  <c r="AB224" i="39"/>
  <c r="AB196" i="39"/>
  <c r="AB177" i="39"/>
  <c r="AB193" i="39"/>
  <c r="AB124" i="39"/>
  <c r="AB79" i="39"/>
  <c r="AB46" i="39"/>
  <c r="AB49" i="39"/>
  <c r="AB119" i="39"/>
  <c r="AB239" i="39"/>
  <c r="AB217" i="39"/>
  <c r="AB216" i="39"/>
  <c r="AB229" i="39"/>
  <c r="AB208" i="39"/>
  <c r="AB222" i="39"/>
  <c r="AB73" i="39"/>
  <c r="AB54" i="39"/>
  <c r="AB157" i="39"/>
  <c r="AB236" i="39"/>
  <c r="AB72" i="39"/>
  <c r="AB252" i="39"/>
  <c r="AB215" i="39"/>
  <c r="AB235" i="39"/>
  <c r="AB98" i="39"/>
  <c r="AB88" i="39"/>
  <c r="AB81" i="39"/>
  <c r="AB103" i="39"/>
  <c r="AB67" i="39"/>
  <c r="AB214" i="39"/>
  <c r="AB221" i="39"/>
  <c r="AB210" i="39"/>
  <c r="AB225" i="39"/>
  <c r="AB227" i="39"/>
  <c r="AB248" i="39"/>
  <c r="AB231" i="39"/>
  <c r="AB153" i="39"/>
  <c r="AB89" i="39"/>
  <c r="AB138" i="39"/>
  <c r="AB57" i="39"/>
  <c r="AB169" i="39"/>
  <c r="AB160" i="39"/>
  <c r="AB166" i="39"/>
  <c r="AB228" i="39"/>
  <c r="AB195" i="39"/>
  <c r="AB28" i="39"/>
  <c r="AB198" i="39"/>
  <c r="AB179" i="39"/>
  <c r="AB184" i="39"/>
  <c r="AB187" i="39"/>
  <c r="AB183" i="39"/>
  <c r="AB173" i="39"/>
  <c r="AB199" i="39"/>
  <c r="AB108" i="39"/>
  <c r="AB132" i="39"/>
  <c r="AB152" i="39"/>
  <c r="AB104" i="39"/>
  <c r="AB181" i="39"/>
  <c r="AB140" i="39"/>
  <c r="AB137" i="39"/>
  <c r="AB188" i="39"/>
  <c r="AB189" i="39"/>
  <c r="AB142" i="39"/>
  <c r="AB143" i="39"/>
  <c r="AB186" i="39"/>
  <c r="AB111" i="39"/>
  <c r="AB191" i="39"/>
  <c r="X38" i="39"/>
  <c r="X25" i="39"/>
  <c r="X34" i="39"/>
  <c r="X70" i="39"/>
  <c r="X22" i="39"/>
  <c r="X29" i="39"/>
  <c r="X252" i="39"/>
  <c r="X206" i="39"/>
  <c r="X251" i="39"/>
  <c r="X215" i="39"/>
  <c r="X210" i="39"/>
  <c r="X224" i="39"/>
  <c r="X178" i="39"/>
  <c r="X179" i="39"/>
  <c r="X185" i="39"/>
  <c r="X170" i="39"/>
  <c r="X227" i="39"/>
  <c r="X151" i="39"/>
  <c r="X144" i="39"/>
  <c r="X141" i="39"/>
  <c r="X140" i="39"/>
  <c r="X167" i="39"/>
  <c r="X56" i="39"/>
  <c r="X28" i="39"/>
  <c r="X30" i="39"/>
  <c r="X255" i="39"/>
  <c r="X247" i="39"/>
  <c r="X217" i="39"/>
  <c r="X209" i="39"/>
  <c r="X248" i="39"/>
  <c r="X225" i="39"/>
  <c r="X250" i="39"/>
  <c r="X204" i="39"/>
  <c r="X203" i="39"/>
  <c r="X168" i="39"/>
  <c r="X228" i="39"/>
  <c r="X149" i="39"/>
  <c r="X153" i="39"/>
  <c r="X137" i="39"/>
  <c r="X181" i="39"/>
  <c r="X116" i="39"/>
  <c r="X148" i="39"/>
  <c r="X96" i="39"/>
  <c r="X130" i="39"/>
  <c r="X164" i="39"/>
  <c r="X119" i="39"/>
  <c r="X95" i="39"/>
  <c r="X187" i="39"/>
  <c r="X109" i="39"/>
  <c r="X112" i="39"/>
  <c r="X100" i="39"/>
  <c r="X62" i="39"/>
  <c r="X68" i="39"/>
  <c r="X44" i="39"/>
  <c r="X54" i="39"/>
  <c r="X89" i="39"/>
  <c r="X139" i="39"/>
  <c r="X72" i="39"/>
  <c r="X64" i="39"/>
  <c r="X97" i="39"/>
  <c r="X6" i="39"/>
  <c r="X9" i="39"/>
  <c r="X16" i="39"/>
  <c r="X31" i="39"/>
  <c r="X26" i="39"/>
  <c r="X32" i="39"/>
  <c r="X23" i="39"/>
  <c r="X245" i="39"/>
  <c r="X239" i="39"/>
  <c r="X253" i="39"/>
  <c r="X234" i="39"/>
  <c r="X189" i="39"/>
  <c r="X230" i="39"/>
  <c r="X161" i="39"/>
  <c r="X138" i="39"/>
  <c r="X177" i="39"/>
  <c r="X129" i="39"/>
  <c r="X147" i="39"/>
  <c r="X88" i="39"/>
  <c r="X236" i="39"/>
  <c r="X101" i="39"/>
  <c r="X122" i="39"/>
  <c r="X91" i="39"/>
  <c r="X160" i="39"/>
  <c r="X118" i="39"/>
  <c r="X105" i="39"/>
  <c r="X40" i="39"/>
  <c r="X48" i="39"/>
  <c r="X51" i="39"/>
  <c r="X58" i="39"/>
  <c r="X79" i="39"/>
  <c r="X81" i="39"/>
  <c r="X50" i="39"/>
  <c r="X63" i="39"/>
  <c r="X7" i="39"/>
  <c r="X13" i="39"/>
  <c r="X12" i="39"/>
  <c r="X242" i="39"/>
  <c r="X254" i="39"/>
  <c r="X226" i="39"/>
  <c r="X246" i="39"/>
  <c r="X229" i="39"/>
  <c r="X216" i="39"/>
  <c r="X171" i="39"/>
  <c r="X150" i="39"/>
  <c r="X200" i="39"/>
  <c r="X143" i="39"/>
  <c r="X208" i="39"/>
  <c r="X120" i="39"/>
  <c r="X135" i="39"/>
  <c r="X220" i="39"/>
  <c r="X99" i="39"/>
  <c r="X113" i="39"/>
  <c r="X87" i="39"/>
  <c r="X145" i="39"/>
  <c r="X142" i="39"/>
  <c r="X93" i="39"/>
  <c r="X76" i="39"/>
  <c r="X86" i="39"/>
  <c r="X47" i="39"/>
  <c r="X65" i="39"/>
  <c r="X78" i="39"/>
  <c r="X102" i="39"/>
  <c r="X45" i="39"/>
  <c r="X8" i="39"/>
  <c r="X15" i="39"/>
  <c r="X27" i="39"/>
  <c r="X14" i="39"/>
  <c r="X240" i="39"/>
  <c r="X235" i="39"/>
  <c r="X205" i="39"/>
  <c r="X207" i="39"/>
  <c r="X211" i="39"/>
  <c r="X194" i="39"/>
  <c r="X169" i="39"/>
  <c r="X131" i="39"/>
  <c r="X134" i="39"/>
  <c r="X133" i="39"/>
  <c r="X190" i="39"/>
  <c r="X107" i="39"/>
  <c r="X126" i="39"/>
  <c r="X132" i="39"/>
  <c r="X128" i="39"/>
  <c r="X106" i="39"/>
  <c r="X83" i="39"/>
  <c r="X90" i="39"/>
  <c r="X136" i="39"/>
  <c r="X69" i="39"/>
  <c r="X67" i="39"/>
  <c r="X80" i="39"/>
  <c r="X98" i="39"/>
  <c r="X117" i="39"/>
  <c r="X71" i="39"/>
  <c r="X85" i="39"/>
  <c r="X43" i="39"/>
  <c r="X84" i="39"/>
  <c r="X241" i="39"/>
  <c r="X158" i="39"/>
  <c r="X166" i="39"/>
  <c r="X125" i="39"/>
  <c r="X121" i="39"/>
  <c r="X73" i="39"/>
  <c r="X77" i="39"/>
  <c r="X11" i="39"/>
  <c r="X20" i="39"/>
  <c r="X92" i="39"/>
  <c r="X162" i="39"/>
  <c r="X157" i="39"/>
  <c r="X182" i="39"/>
  <c r="X186" i="39"/>
  <c r="X233" i="39"/>
  <c r="X154" i="39"/>
  <c r="X104" i="39"/>
  <c r="X103" i="39"/>
  <c r="X82" i="39"/>
  <c r="X5" i="39"/>
  <c r="X94" i="39"/>
  <c r="X21" i="39"/>
  <c r="X163" i="39"/>
  <c r="X159" i="39"/>
  <c r="X180" i="39"/>
  <c r="X249" i="39"/>
  <c r="X193" i="39"/>
  <c r="X191" i="39"/>
  <c r="X110" i="39"/>
  <c r="X176" i="39"/>
  <c r="X61" i="39"/>
  <c r="X46" i="39"/>
  <c r="X123" i="39"/>
  <c r="X173" i="39"/>
  <c r="X174" i="39"/>
  <c r="X188" i="39"/>
  <c r="X10" i="39"/>
  <c r="X127" i="39"/>
  <c r="X33" i="39"/>
  <c r="X192" i="39"/>
  <c r="X231" i="39"/>
  <c r="X221" i="39"/>
  <c r="X57" i="39"/>
  <c r="X49" i="39"/>
  <c r="X244" i="39"/>
  <c r="X124" i="39"/>
  <c r="X165" i="39"/>
  <c r="X175" i="39"/>
  <c r="X184" i="39"/>
  <c r="X197" i="39"/>
  <c r="X222" i="39"/>
  <c r="X243" i="39"/>
  <c r="X66" i="39"/>
  <c r="X24" i="39"/>
  <c r="X232" i="39"/>
  <c r="X172" i="39"/>
  <c r="X183" i="39"/>
  <c r="X196" i="39"/>
  <c r="X223" i="39"/>
  <c r="X214" i="39"/>
  <c r="X146" i="39"/>
  <c r="X213" i="39"/>
  <c r="X212" i="39"/>
  <c r="X152" i="39"/>
  <c r="X198" i="39"/>
  <c r="X199" i="39"/>
  <c r="X195" i="39"/>
  <c r="X108" i="39"/>
  <c r="X111" i="39"/>
  <c r="AF201" i="39"/>
  <c r="AF218" i="39"/>
  <c r="AZ34" i="39" s="1"/>
  <c r="AF155" i="39"/>
  <c r="AY213" i="39"/>
  <c r="AY170" i="39"/>
  <c r="AY89" i="39"/>
  <c r="AY129" i="39"/>
  <c r="X17" i="39" l="1"/>
  <c r="Z5" i="39"/>
  <c r="Z16" i="39"/>
  <c r="AB17" i="39"/>
  <c r="AB35" i="39"/>
  <c r="X35" i="39"/>
  <c r="AH36" i="39"/>
  <c r="AH35" i="39"/>
  <c r="V5" i="39"/>
  <c r="V16" i="39"/>
  <c r="AG30" i="39"/>
  <c r="AG35" i="39" s="1"/>
  <c r="AG13" i="39"/>
  <c r="AY81" i="39"/>
  <c r="AY85" i="39"/>
  <c r="AB36" i="39"/>
  <c r="Z32" i="39"/>
  <c r="Z33" i="39"/>
  <c r="Z80" i="39"/>
  <c r="Z22" i="39"/>
  <c r="Z57" i="39"/>
  <c r="Z25" i="39"/>
  <c r="Z29" i="39"/>
  <c r="Z58" i="39"/>
  <c r="Z46" i="39"/>
  <c r="Z255" i="39"/>
  <c r="Z126" i="39"/>
  <c r="Z86" i="39"/>
  <c r="Z245" i="39"/>
  <c r="Z85" i="39"/>
  <c r="Z34" i="39"/>
  <c r="Z48" i="39"/>
  <c r="Z113" i="39"/>
  <c r="Z154" i="39"/>
  <c r="Z50" i="39"/>
  <c r="Z243" i="39"/>
  <c r="Z125" i="39"/>
  <c r="Z120" i="39"/>
  <c r="Z12" i="39"/>
  <c r="Z73" i="39"/>
  <c r="Z95" i="39"/>
  <c r="Z13" i="39"/>
  <c r="Z227" i="39"/>
  <c r="Z254" i="39"/>
  <c r="Z88" i="39"/>
  <c r="Z128" i="39"/>
  <c r="Z69" i="39"/>
  <c r="Z200" i="39"/>
  <c r="Z236" i="39"/>
  <c r="Z215" i="39"/>
  <c r="Z209" i="39"/>
  <c r="Z106" i="39"/>
  <c r="Z177" i="39"/>
  <c r="Z246" i="39"/>
  <c r="Z216" i="39"/>
  <c r="Z112" i="39"/>
  <c r="Z148" i="39"/>
  <c r="Z226" i="39"/>
  <c r="Z217" i="39"/>
  <c r="Z194" i="39"/>
  <c r="Z43" i="39"/>
  <c r="Z167" i="39"/>
  <c r="Z147" i="39"/>
  <c r="Z15" i="39"/>
  <c r="Z235" i="39"/>
  <c r="Z61" i="39"/>
  <c r="Z169" i="39"/>
  <c r="Z193" i="39"/>
  <c r="Z161" i="39"/>
  <c r="Z166" i="39"/>
  <c r="Z224" i="39"/>
  <c r="Z107" i="39"/>
  <c r="Z135" i="39"/>
  <c r="Z153" i="39"/>
  <c r="Z199" i="39"/>
  <c r="AB201" i="39"/>
  <c r="AB256" i="39"/>
  <c r="AY248" i="39"/>
  <c r="AB237" i="39"/>
  <c r="AY229" i="39"/>
  <c r="AZ28" i="39"/>
  <c r="AB218" i="39"/>
  <c r="AY209" i="39"/>
  <c r="BB28" i="39"/>
  <c r="V24" i="39"/>
  <c r="V38" i="39"/>
  <c r="V22" i="39"/>
  <c r="V34" i="39"/>
  <c r="V7" i="39"/>
  <c r="V10" i="39"/>
  <c r="V44" i="39"/>
  <c r="V29" i="39"/>
  <c r="V81" i="39"/>
  <c r="V78" i="39"/>
  <c r="V33" i="39"/>
  <c r="V25" i="39"/>
  <c r="V32" i="39"/>
  <c r="V48" i="39"/>
  <c r="V6" i="39"/>
  <c r="V245" i="39"/>
  <c r="V117" i="39"/>
  <c r="V118" i="39"/>
  <c r="V133" i="39"/>
  <c r="V27" i="39"/>
  <c r="V23" i="39"/>
  <c r="V253" i="39"/>
  <c r="V126" i="39"/>
  <c r="V77" i="39"/>
  <c r="V58" i="39"/>
  <c r="V154" i="39"/>
  <c r="V56" i="39"/>
  <c r="V68" i="39"/>
  <c r="V243" i="39"/>
  <c r="V82" i="39"/>
  <c r="V79" i="39"/>
  <c r="V119" i="39"/>
  <c r="V122" i="39"/>
  <c r="V120" i="39"/>
  <c r="V113" i="39"/>
  <c r="V141" i="39"/>
  <c r="V47" i="39"/>
  <c r="V65" i="39"/>
  <c r="V125" i="39"/>
  <c r="V49" i="39"/>
  <c r="V46" i="39"/>
  <c r="V85" i="39"/>
  <c r="V50" i="39"/>
  <c r="V89" i="39"/>
  <c r="V80" i="39"/>
  <c r="V121" i="39"/>
  <c r="V84" i="39"/>
  <c r="V124" i="39"/>
  <c r="V8" i="39"/>
  <c r="V57" i="39"/>
  <c r="V86" i="39"/>
  <c r="V206" i="39"/>
  <c r="V244" i="39"/>
  <c r="V21" i="39"/>
  <c r="V255" i="39"/>
  <c r="V90" i="39"/>
  <c r="V229" i="39"/>
  <c r="V208" i="39"/>
  <c r="V247" i="39"/>
  <c r="V178" i="39"/>
  <c r="V159" i="39"/>
  <c r="V176" i="39"/>
  <c r="V213" i="39"/>
  <c r="V197" i="39"/>
  <c r="V249" i="39"/>
  <c r="V130" i="39"/>
  <c r="V149" i="39"/>
  <c r="V70" i="39"/>
  <c r="V131" i="39"/>
  <c r="V132" i="39"/>
  <c r="V246" i="39"/>
  <c r="V40" i="39"/>
  <c r="V99" i="39"/>
  <c r="V93" i="39"/>
  <c r="V100" i="39"/>
  <c r="V158" i="39"/>
  <c r="V248" i="39"/>
  <c r="V220" i="39"/>
  <c r="V204" i="39"/>
  <c r="V147" i="39"/>
  <c r="V9" i="39"/>
  <c r="V12" i="39"/>
  <c r="V216" i="39"/>
  <c r="V166" i="39"/>
  <c r="V167" i="39"/>
  <c r="V148" i="39"/>
  <c r="V222" i="39"/>
  <c r="V224" i="39"/>
  <c r="V194" i="39"/>
  <c r="V153" i="39"/>
  <c r="V43" i="39"/>
  <c r="V212" i="39"/>
  <c r="V234" i="39"/>
  <c r="V252" i="39"/>
  <c r="V136" i="39"/>
  <c r="V138" i="39"/>
  <c r="V171" i="39"/>
  <c r="V102" i="39"/>
  <c r="V105" i="39"/>
  <c r="V110" i="39"/>
  <c r="V161" i="39"/>
  <c r="V109" i="39"/>
  <c r="V123" i="39"/>
  <c r="V11" i="39"/>
  <c r="V139" i="39"/>
  <c r="V180" i="39"/>
  <c r="V83" i="39"/>
  <c r="V95" i="39"/>
  <c r="V73" i="39"/>
  <c r="V13" i="39"/>
  <c r="V235" i="39"/>
  <c r="V88" i="39"/>
  <c r="V196" i="39"/>
  <c r="V179" i="39"/>
  <c r="V98" i="39"/>
  <c r="V250" i="39"/>
  <c r="V210" i="39"/>
  <c r="V134" i="39"/>
  <c r="V203" i="39"/>
  <c r="V231" i="39"/>
  <c r="V214" i="39"/>
  <c r="V168" i="39"/>
  <c r="V127" i="39"/>
  <c r="V63" i="39"/>
  <c r="V162" i="39"/>
  <c r="V144" i="39"/>
  <c r="V72" i="39"/>
  <c r="V150" i="39"/>
  <c r="V101" i="39"/>
  <c r="V160" i="39"/>
  <c r="V207" i="39"/>
  <c r="V87" i="39"/>
  <c r="V240" i="39"/>
  <c r="V239" i="39"/>
  <c r="V51" i="39"/>
  <c r="V151" i="39"/>
  <c r="V15" i="39"/>
  <c r="V20" i="39"/>
  <c r="V241" i="39"/>
  <c r="V14" i="39"/>
  <c r="V254" i="39"/>
  <c r="V64" i="39"/>
  <c r="V61" i="39"/>
  <c r="V169" i="39"/>
  <c r="V215" i="39"/>
  <c r="V209" i="39"/>
  <c r="V217" i="39"/>
  <c r="V232" i="39"/>
  <c r="V145" i="39"/>
  <c r="V184" i="39"/>
  <c r="V96" i="39"/>
  <c r="V106" i="39"/>
  <c r="V92" i="39"/>
  <c r="V128" i="39"/>
  <c r="V230" i="39"/>
  <c r="V174" i="39"/>
  <c r="V185" i="39"/>
  <c r="V221" i="39"/>
  <c r="V228" i="39"/>
  <c r="V182" i="39"/>
  <c r="V211" i="39"/>
  <c r="V170" i="39"/>
  <c r="V175" i="39"/>
  <c r="V67" i="39"/>
  <c r="V94" i="39"/>
  <c r="V62" i="39"/>
  <c r="V157" i="39"/>
  <c r="V71" i="39"/>
  <c r="V165" i="39"/>
  <c r="V45" i="39"/>
  <c r="V227" i="39"/>
  <c r="V192" i="39"/>
  <c r="V26" i="39"/>
  <c r="V163" i="39"/>
  <c r="V76" i="39"/>
  <c r="V164" i="39"/>
  <c r="V91" i="39"/>
  <c r="V97" i="39"/>
  <c r="V242" i="39"/>
  <c r="V129" i="39"/>
  <c r="V116" i="39"/>
  <c r="V177" i="39"/>
  <c r="V112" i="39"/>
  <c r="V66" i="39"/>
  <c r="V135" i="39"/>
  <c r="V226" i="39"/>
  <c r="V223" i="39"/>
  <c r="V107" i="39"/>
  <c r="V233" i="39"/>
  <c r="V146" i="39"/>
  <c r="V190" i="39"/>
  <c r="V205" i="39"/>
  <c r="V172" i="39"/>
  <c r="V30" i="39"/>
  <c r="V54" i="39"/>
  <c r="V103" i="39"/>
  <c r="V225" i="39"/>
  <c r="V251" i="39"/>
  <c r="V236" i="39"/>
  <c r="V31" i="39"/>
  <c r="V69" i="39"/>
  <c r="V200" i="39"/>
  <c r="V193" i="39"/>
  <c r="V28" i="39"/>
  <c r="V108" i="39"/>
  <c r="V152" i="39"/>
  <c r="V195" i="39"/>
  <c r="V198" i="39"/>
  <c r="V187" i="39"/>
  <c r="V140" i="39"/>
  <c r="V173" i="39"/>
  <c r="V183" i="39"/>
  <c r="V181" i="39"/>
  <c r="V104" i="39"/>
  <c r="V137" i="39"/>
  <c r="V199" i="39"/>
  <c r="V143" i="39"/>
  <c r="V188" i="39"/>
  <c r="V142" i="39"/>
  <c r="V189" i="39"/>
  <c r="V186" i="39"/>
  <c r="V111" i="39"/>
  <c r="V191" i="39"/>
  <c r="AY121" i="39"/>
  <c r="AY24" i="39"/>
  <c r="BB24" i="39"/>
  <c r="X36" i="39"/>
  <c r="X218" i="39"/>
  <c r="AY205" i="39"/>
  <c r="AB114" i="39"/>
  <c r="AY125" i="39"/>
  <c r="AB155" i="39"/>
  <c r="X256" i="39"/>
  <c r="AY244" i="39"/>
  <c r="AY34" i="39"/>
  <c r="X74" i="39"/>
  <c r="AY61" i="39"/>
  <c r="X201" i="39"/>
  <c r="AY162" i="39"/>
  <c r="X237" i="39"/>
  <c r="AZ24" i="39"/>
  <c r="AY225" i="39"/>
  <c r="X155" i="39"/>
  <c r="W71" i="39"/>
  <c r="W29" i="39"/>
  <c r="W26" i="39"/>
  <c r="W225" i="39"/>
  <c r="W204" i="39"/>
  <c r="W252" i="39"/>
  <c r="W206" i="39"/>
  <c r="W251" i="39"/>
  <c r="W241" i="39"/>
  <c r="W234" i="39"/>
  <c r="W211" i="39"/>
  <c r="W224" i="39"/>
  <c r="W205" i="39"/>
  <c r="W147" i="39"/>
  <c r="W186" i="39"/>
  <c r="W158" i="39"/>
  <c r="W174" i="39"/>
  <c r="W144" i="39"/>
  <c r="W138" i="39"/>
  <c r="W200" i="39"/>
  <c r="W177" i="39"/>
  <c r="W246" i="39"/>
  <c r="W145" i="39"/>
  <c r="W97" i="39"/>
  <c r="W120" i="39"/>
  <c r="W157" i="39"/>
  <c r="W96" i="39"/>
  <c r="W101" i="39"/>
  <c r="W125" i="39"/>
  <c r="W106" i="39"/>
  <c r="W87" i="39"/>
  <c r="W118" i="39"/>
  <c r="W77" i="39"/>
  <c r="W43" i="39"/>
  <c r="W68" i="39"/>
  <c r="W44" i="39"/>
  <c r="W80" i="39"/>
  <c r="W73" i="39"/>
  <c r="W72" i="39"/>
  <c r="W31" i="39"/>
  <c r="W220" i="39"/>
  <c r="W242" i="39"/>
  <c r="W245" i="39"/>
  <c r="W244" i="39"/>
  <c r="W228" i="39"/>
  <c r="W188" i="39"/>
  <c r="W214" i="39"/>
  <c r="W183" i="39"/>
  <c r="W227" i="39"/>
  <c r="W151" i="39"/>
  <c r="W161" i="39"/>
  <c r="W141" i="39"/>
  <c r="W149" i="39"/>
  <c r="W143" i="39"/>
  <c r="W148" i="39"/>
  <c r="W85" i="39"/>
  <c r="W107" i="39"/>
  <c r="W110" i="39"/>
  <c r="W99" i="39"/>
  <c r="W119" i="39"/>
  <c r="W91" i="39"/>
  <c r="W112" i="39"/>
  <c r="W62" i="39"/>
  <c r="W67" i="39"/>
  <c r="W100" i="39"/>
  <c r="W51" i="39"/>
  <c r="W58" i="39"/>
  <c r="W84" i="39"/>
  <c r="W5" i="39"/>
  <c r="W8" i="39"/>
  <c r="W23" i="39"/>
  <c r="W216" i="39"/>
  <c r="W249" i="39"/>
  <c r="W193" i="39"/>
  <c r="W9" i="39"/>
  <c r="W10" i="39"/>
  <c r="W236" i="39"/>
  <c r="W208" i="39"/>
  <c r="W247" i="39"/>
  <c r="W213" i="39"/>
  <c r="W229" i="39"/>
  <c r="W250" i="39"/>
  <c r="W166" i="39"/>
  <c r="W171" i="39"/>
  <c r="W168" i="39"/>
  <c r="W135" i="39"/>
  <c r="W134" i="39"/>
  <c r="W160" i="39"/>
  <c r="W82" i="39"/>
  <c r="W137" i="39"/>
  <c r="W132" i="39"/>
  <c r="W113" i="39"/>
  <c r="W109" i="39"/>
  <c r="W63" i="39"/>
  <c r="W40" i="39"/>
  <c r="W48" i="39"/>
  <c r="W54" i="39"/>
  <c r="W47" i="39"/>
  <c r="W94" i="39"/>
  <c r="W49" i="39"/>
  <c r="W13" i="39"/>
  <c r="W233" i="39"/>
  <c r="W255" i="39"/>
  <c r="W254" i="39"/>
  <c r="W209" i="39"/>
  <c r="W196" i="39"/>
  <c r="W207" i="39"/>
  <c r="W142" i="39"/>
  <c r="W169" i="39"/>
  <c r="W150" i="39"/>
  <c r="W130" i="39"/>
  <c r="W153" i="39"/>
  <c r="W123" i="39"/>
  <c r="W79" i="39"/>
  <c r="W126" i="39"/>
  <c r="W81" i="39"/>
  <c r="W103" i="39"/>
  <c r="W124" i="39"/>
  <c r="W45" i="39"/>
  <c r="W30" i="39"/>
  <c r="W129" i="39"/>
  <c r="W131" i="39"/>
  <c r="W90" i="39"/>
  <c r="W88" i="39"/>
  <c r="W7" i="39"/>
  <c r="W64" i="39"/>
  <c r="W240" i="39"/>
  <c r="W192" i="39"/>
  <c r="W139" i="39"/>
  <c r="W180" i="39"/>
  <c r="W133" i="39"/>
  <c r="W116" i="39"/>
  <c r="W128" i="39"/>
  <c r="W105" i="39"/>
  <c r="W76" i="39"/>
  <c r="W98" i="39"/>
  <c r="W70" i="39"/>
  <c r="W57" i="39"/>
  <c r="W6" i="39"/>
  <c r="W24" i="39"/>
  <c r="W12" i="39"/>
  <c r="W235" i="39"/>
  <c r="W179" i="39"/>
  <c r="W172" i="39"/>
  <c r="W154" i="39"/>
  <c r="W164" i="39"/>
  <c r="W104" i="39"/>
  <c r="W122" i="39"/>
  <c r="W121" i="39"/>
  <c r="W61" i="39"/>
  <c r="W89" i="39"/>
  <c r="W56" i="39"/>
  <c r="W27" i="39"/>
  <c r="W78" i="39"/>
  <c r="W11" i="39"/>
  <c r="W210" i="39"/>
  <c r="W253" i="39"/>
  <c r="W136" i="39"/>
  <c r="W127" i="39"/>
  <c r="W117" i="39"/>
  <c r="W92" i="39"/>
  <c r="W95" i="39"/>
  <c r="W93" i="39"/>
  <c r="W86" i="39"/>
  <c r="W65" i="39"/>
  <c r="W15" i="39"/>
  <c r="W230" i="39"/>
  <c r="W140" i="39"/>
  <c r="W69" i="39"/>
  <c r="W20" i="39"/>
  <c r="W162" i="39"/>
  <c r="W146" i="39"/>
  <c r="W165" i="39"/>
  <c r="W194" i="39"/>
  <c r="W173" i="39"/>
  <c r="W185" i="39"/>
  <c r="W170" i="39"/>
  <c r="W34" i="39"/>
  <c r="W248" i="39"/>
  <c r="W102" i="39"/>
  <c r="W66" i="39"/>
  <c r="W33" i="39"/>
  <c r="W21" i="39"/>
  <c r="W25" i="39"/>
  <c r="W191" i="39"/>
  <c r="W190" i="39"/>
  <c r="W163" i="39"/>
  <c r="W46" i="39"/>
  <c r="W14" i="39"/>
  <c r="W22" i="39"/>
  <c r="W38" i="39"/>
  <c r="W50" i="39"/>
  <c r="W178" i="39"/>
  <c r="W167" i="39"/>
  <c r="W159" i="39"/>
  <c r="W176" i="39"/>
  <c r="W175" i="39"/>
  <c r="W181" i="39"/>
  <c r="W184" i="39"/>
  <c r="W232" i="39"/>
  <c r="W217" i="39"/>
  <c r="W83" i="39"/>
  <c r="W16" i="39"/>
  <c r="W197" i="39"/>
  <c r="W182" i="39"/>
  <c r="W32" i="39"/>
  <c r="W215" i="39"/>
  <c r="W189" i="39"/>
  <c r="W239" i="39"/>
  <c r="W212" i="39"/>
  <c r="W222" i="39"/>
  <c r="W243" i="39"/>
  <c r="W187" i="39"/>
  <c r="W223" i="39"/>
  <c r="W231" i="39"/>
  <c r="W221" i="39"/>
  <c r="W203" i="39"/>
  <c r="W226" i="39"/>
  <c r="W199" i="39"/>
  <c r="W198" i="39"/>
  <c r="W152" i="39"/>
  <c r="W108" i="39"/>
  <c r="W195" i="39"/>
  <c r="W28" i="39"/>
  <c r="W111" i="39"/>
  <c r="AG241" i="39"/>
  <c r="AG256" i="39" s="1"/>
  <c r="AG64" i="39"/>
  <c r="AG15" i="39"/>
  <c r="AG66" i="39"/>
  <c r="AG222" i="39"/>
  <c r="X114" i="39"/>
  <c r="AY166" i="39"/>
  <c r="AY28" i="39"/>
  <c r="AB74" i="39"/>
  <c r="AY65" i="39"/>
  <c r="AY71" i="39"/>
  <c r="AH74" i="39"/>
  <c r="AG36" i="39" l="1"/>
  <c r="W17" i="39"/>
  <c r="V35" i="39"/>
  <c r="V36" i="39" s="1"/>
  <c r="Z17" i="39"/>
  <c r="Z35" i="39"/>
  <c r="V17" i="39"/>
  <c r="W35" i="39"/>
  <c r="AG17" i="39"/>
  <c r="AL225" i="39"/>
  <c r="AL94" i="39"/>
  <c r="AL160" i="39"/>
  <c r="AL134" i="39"/>
  <c r="AL153" i="39"/>
  <c r="AL176" i="39"/>
  <c r="AL21" i="39"/>
  <c r="AL56" i="39"/>
  <c r="AL126" i="39"/>
  <c r="AL6" i="39"/>
  <c r="AL44" i="39"/>
  <c r="AY120" i="39"/>
  <c r="AL13" i="39"/>
  <c r="AL12" i="39"/>
  <c r="AL121" i="39"/>
  <c r="AY80" i="39"/>
  <c r="AL168" i="39"/>
  <c r="AL113" i="39"/>
  <c r="AL33" i="39"/>
  <c r="AL22" i="39"/>
  <c r="AY26" i="39"/>
  <c r="AZ33" i="39"/>
  <c r="AG237" i="39"/>
  <c r="AL116" i="39"/>
  <c r="V155" i="39"/>
  <c r="AY119" i="39"/>
  <c r="AL64" i="39"/>
  <c r="AL85" i="39"/>
  <c r="AL79" i="39"/>
  <c r="BC26" i="39"/>
  <c r="Z59" i="39"/>
  <c r="AY33" i="39"/>
  <c r="W36" i="39"/>
  <c r="AY23" i="39"/>
  <c r="AY161" i="39"/>
  <c r="W201" i="39"/>
  <c r="AL199" i="39"/>
  <c r="AL28" i="39"/>
  <c r="AL31" i="39"/>
  <c r="AL205" i="39"/>
  <c r="AL66" i="39"/>
  <c r="AL129" i="39"/>
  <c r="AL164" i="39"/>
  <c r="AL67" i="39"/>
  <c r="AL182" i="39"/>
  <c r="AL169" i="39"/>
  <c r="AL254" i="39"/>
  <c r="AL15" i="39"/>
  <c r="AL240" i="39"/>
  <c r="AL162" i="39"/>
  <c r="AL210" i="39"/>
  <c r="AL73" i="39"/>
  <c r="AL139" i="39"/>
  <c r="AL234" i="39"/>
  <c r="AL167" i="39"/>
  <c r="AL248" i="39"/>
  <c r="AL249" i="39"/>
  <c r="AL159" i="39"/>
  <c r="AL229" i="39"/>
  <c r="AL244" i="39"/>
  <c r="AL8" i="39"/>
  <c r="AL80" i="39"/>
  <c r="AL46" i="39"/>
  <c r="AL47" i="39"/>
  <c r="AL120" i="39"/>
  <c r="AL82" i="39"/>
  <c r="AL154" i="39"/>
  <c r="AL253" i="39"/>
  <c r="AL118" i="39"/>
  <c r="AL48" i="39"/>
  <c r="AL78" i="39"/>
  <c r="AL38" i="39"/>
  <c r="AY164" i="39"/>
  <c r="Z237" i="39"/>
  <c r="AZ26" i="39"/>
  <c r="AY227" i="39"/>
  <c r="AL106" i="39"/>
  <c r="Z256" i="39"/>
  <c r="AY246" i="39"/>
  <c r="BB26" i="39"/>
  <c r="Z36" i="39"/>
  <c r="AY70" i="39"/>
  <c r="AG74" i="39"/>
  <c r="W256" i="39"/>
  <c r="AY243" i="39"/>
  <c r="AL69" i="39"/>
  <c r="AL165" i="39"/>
  <c r="AL20" i="39"/>
  <c r="BB22" i="39"/>
  <c r="V237" i="39"/>
  <c r="AL220" i="39"/>
  <c r="AY223" i="39"/>
  <c r="AZ22" i="39"/>
  <c r="W155" i="39"/>
  <c r="AY160" i="39"/>
  <c r="AL193" i="39"/>
  <c r="AL236" i="39"/>
  <c r="AL54" i="39"/>
  <c r="AL223" i="39"/>
  <c r="AL112" i="39"/>
  <c r="AL242" i="39"/>
  <c r="AL76" i="39"/>
  <c r="AY79" i="39"/>
  <c r="V114" i="39"/>
  <c r="AL157" i="39"/>
  <c r="V201" i="39"/>
  <c r="AL228" i="39"/>
  <c r="AL230" i="39"/>
  <c r="AL217" i="39"/>
  <c r="V74" i="39"/>
  <c r="AY57" i="39"/>
  <c r="AL61" i="39"/>
  <c r="AL14" i="39"/>
  <c r="AL87" i="39"/>
  <c r="AL63" i="39"/>
  <c r="AL88" i="39"/>
  <c r="AL224" i="39"/>
  <c r="AL166" i="39"/>
  <c r="AL147" i="39"/>
  <c r="AL158" i="39"/>
  <c r="AL40" i="39"/>
  <c r="AL206" i="39"/>
  <c r="AL124" i="39"/>
  <c r="AL89" i="39"/>
  <c r="AL49" i="39"/>
  <c r="AL122" i="39"/>
  <c r="AL243" i="39"/>
  <c r="AL58" i="39"/>
  <c r="AL23" i="39"/>
  <c r="AL117" i="39"/>
  <c r="AL32" i="39"/>
  <c r="AL81" i="39"/>
  <c r="AL7" i="39"/>
  <c r="AL24" i="39"/>
  <c r="Z74" i="39"/>
  <c r="AY63" i="39"/>
  <c r="Z218" i="39"/>
  <c r="AY207" i="39"/>
  <c r="AL227" i="39"/>
  <c r="AY83" i="39"/>
  <c r="Z114" i="39"/>
  <c r="AY204" i="39"/>
  <c r="W218" i="39"/>
  <c r="AY58" i="39"/>
  <c r="W74" i="39"/>
  <c r="AL26" i="39"/>
  <c r="V256" i="39"/>
  <c r="AL239" i="39"/>
  <c r="AY242" i="39"/>
  <c r="AL208" i="39"/>
  <c r="AL57" i="39"/>
  <c r="AL65" i="39"/>
  <c r="AY224" i="39"/>
  <c r="BB23" i="39"/>
  <c r="W114" i="39"/>
  <c r="W237" i="39"/>
  <c r="AZ23" i="39"/>
  <c r="AL200" i="39"/>
  <c r="AL30" i="39"/>
  <c r="AL226" i="39"/>
  <c r="AL163" i="39"/>
  <c r="AL45" i="39"/>
  <c r="AL62" i="39"/>
  <c r="AL170" i="39"/>
  <c r="AL221" i="39"/>
  <c r="AL128" i="39"/>
  <c r="AL209" i="39"/>
  <c r="AL16" i="39"/>
  <c r="AL241" i="39"/>
  <c r="AL51" i="39"/>
  <c r="AL207" i="39"/>
  <c r="AL127" i="39"/>
  <c r="AL203" i="39"/>
  <c r="AY203" i="39"/>
  <c r="V218" i="39"/>
  <c r="AL98" i="39"/>
  <c r="AL235" i="39"/>
  <c r="AL83" i="39"/>
  <c r="AL123" i="39"/>
  <c r="AL43" i="39"/>
  <c r="AL222" i="39"/>
  <c r="AL216" i="39"/>
  <c r="AL204" i="39"/>
  <c r="AL247" i="39"/>
  <c r="AL255" i="39"/>
  <c r="AL86" i="39"/>
  <c r="AL84" i="39"/>
  <c r="AL50" i="39"/>
  <c r="AL125" i="39"/>
  <c r="AL5" i="39"/>
  <c r="AY22" i="39"/>
  <c r="AL119" i="39"/>
  <c r="AL68" i="39"/>
  <c r="AL77" i="39"/>
  <c r="AL27" i="39"/>
  <c r="AL245" i="39"/>
  <c r="AL25" i="39"/>
  <c r="AL29" i="39"/>
  <c r="AL34" i="39"/>
  <c r="AL161" i="39"/>
  <c r="Z201" i="39"/>
  <c r="AL246" i="39"/>
  <c r="AY123" i="39"/>
  <c r="Z155" i="39"/>
  <c r="AL35" i="39" l="1"/>
  <c r="AU126" i="39"/>
  <c r="AU31" i="39"/>
  <c r="AU213" i="39"/>
  <c r="AU43" i="39"/>
  <c r="AU244" i="39"/>
  <c r="BB39" i="39"/>
  <c r="BB40" i="39" s="1"/>
  <c r="AU167" i="39"/>
  <c r="AU121" i="39"/>
  <c r="AU208" i="39"/>
  <c r="AU25" i="39"/>
  <c r="AU26" i="39"/>
  <c r="AM34" i="39"/>
  <c r="AU249" i="39"/>
  <c r="AU86" i="39"/>
  <c r="AU207" i="39"/>
  <c r="AU81" i="39"/>
  <c r="AU224" i="39"/>
  <c r="AU225" i="39"/>
  <c r="AU162" i="39"/>
  <c r="AU243" i="39"/>
  <c r="AU230" i="39"/>
  <c r="AU32" i="39" l="1"/>
  <c r="G59" i="39" l="1"/>
  <c r="AI132" i="39"/>
  <c r="AE174" i="39"/>
  <c r="AE138" i="39"/>
  <c r="AE181" i="39"/>
  <c r="AE140" i="39"/>
  <c r="AE184" i="39"/>
  <c r="AL184" i="39" s="1"/>
  <c r="AE137" i="39"/>
  <c r="AE132" i="39"/>
  <c r="AE179" i="39"/>
  <c r="AE186" i="39"/>
  <c r="AL186" i="39" s="1"/>
  <c r="AE188" i="39"/>
  <c r="AL188" i="39" s="1"/>
  <c r="AE142" i="39"/>
  <c r="AL142" i="39" s="1"/>
  <c r="AE143" i="39"/>
  <c r="AL143" i="39" s="1"/>
  <c r="N59" i="39" l="1"/>
  <c r="O59" i="39"/>
  <c r="R59" i="39"/>
  <c r="S59" i="39"/>
  <c r="J59" i="39"/>
  <c r="K59" i="39"/>
  <c r="I59" i="39"/>
  <c r="L59" i="39"/>
  <c r="Q59" i="39"/>
  <c r="H59" i="39"/>
  <c r="M59" i="39"/>
  <c r="P59" i="39"/>
  <c r="AI135" i="39"/>
  <c r="AL135" i="39" s="1"/>
  <c r="AI95" i="39"/>
  <c r="AI177" i="39"/>
  <c r="AD99" i="39"/>
  <c r="AD136" i="39"/>
  <c r="AD130" i="39"/>
  <c r="AD149" i="39"/>
  <c r="AL149" i="39" s="1"/>
  <c r="AD178" i="39"/>
  <c r="AD97" i="39"/>
  <c r="AD145" i="39"/>
  <c r="AL145" i="39" s="1"/>
  <c r="AD148" i="39"/>
  <c r="AD103" i="39"/>
  <c r="AD96" i="39"/>
  <c r="AD90" i="39"/>
  <c r="AD101" i="39"/>
  <c r="AL101" i="39" s="1"/>
  <c r="AD107" i="39"/>
  <c r="AD102" i="39"/>
  <c r="AL102" i="39" s="1"/>
  <c r="AD92" i="39"/>
  <c r="AD174" i="39"/>
  <c r="AD214" i="39"/>
  <c r="AL214" i="39" s="1"/>
  <c r="AD180" i="39"/>
  <c r="AD144" i="39"/>
  <c r="AD215" i="39"/>
  <c r="AD190" i="39"/>
  <c r="AD211" i="39"/>
  <c r="AD213" i="39"/>
  <c r="AL213" i="39" s="1"/>
  <c r="AD194" i="39"/>
  <c r="AD171" i="39"/>
  <c r="AD212" i="39"/>
  <c r="AL212" i="39" s="1"/>
  <c r="AD173" i="39"/>
  <c r="AD132" i="39"/>
  <c r="AD152" i="39"/>
  <c r="AL152" i="39" s="1"/>
  <c r="AD183" i="39"/>
  <c r="AD187" i="39"/>
  <c r="AL187" i="39" s="1"/>
  <c r="AD104" i="39"/>
  <c r="AL104" i="39" s="1"/>
  <c r="AD198" i="39"/>
  <c r="AL198" i="39" s="1"/>
  <c r="AD108" i="39"/>
  <c r="AL108" i="39" s="1"/>
  <c r="AD195" i="39"/>
  <c r="AL195" i="39" s="1"/>
  <c r="AD189" i="39"/>
  <c r="AL189" i="39" s="1"/>
  <c r="AD111" i="39"/>
  <c r="AD191" i="39"/>
  <c r="AE155" i="39"/>
  <c r="AY128" i="39"/>
  <c r="AL140" i="39"/>
  <c r="AI252" i="39"/>
  <c r="AI53" i="39"/>
  <c r="AJ52" i="39"/>
  <c r="AI233" i="39"/>
  <c r="AF42" i="39"/>
  <c r="T42" i="39"/>
  <c r="AC42" i="39"/>
  <c r="AD42" i="39"/>
  <c r="AA42" i="39"/>
  <c r="Y42" i="39"/>
  <c r="X42" i="39"/>
  <c r="AB42" i="39"/>
  <c r="W42" i="39"/>
  <c r="AC39" i="39"/>
  <c r="AD39" i="39"/>
  <c r="AH39" i="39"/>
  <c r="AF39" i="39"/>
  <c r="T39" i="39"/>
  <c r="AA39" i="39"/>
  <c r="Y39" i="39"/>
  <c r="AB39" i="39"/>
  <c r="X39" i="39"/>
  <c r="W39" i="39"/>
  <c r="AD52" i="39"/>
  <c r="AF52" i="39"/>
  <c r="AH52" i="39"/>
  <c r="T52" i="39"/>
  <c r="V52" i="39" s="1"/>
  <c r="AC52" i="39"/>
  <c r="Y52" i="39"/>
  <c r="AA52" i="39"/>
  <c r="AB52" i="39"/>
  <c r="X52" i="39"/>
  <c r="W52" i="39"/>
  <c r="AE201" i="39"/>
  <c r="AY169" i="39"/>
  <c r="AF55" i="39"/>
  <c r="AK55" i="39"/>
  <c r="AK59" i="39" s="1"/>
  <c r="AC55" i="39"/>
  <c r="AD55" i="39"/>
  <c r="AH55" i="39"/>
  <c r="T55" i="39"/>
  <c r="V55" i="39" s="1"/>
  <c r="AA55" i="39"/>
  <c r="Y55" i="39"/>
  <c r="X55" i="39"/>
  <c r="AB55" i="39"/>
  <c r="W55" i="39"/>
  <c r="AD41" i="39"/>
  <c r="AF41" i="39"/>
  <c r="AH41" i="39"/>
  <c r="T41" i="39"/>
  <c r="AC41" i="39"/>
  <c r="Y41" i="39"/>
  <c r="AA41" i="39"/>
  <c r="X41" i="39"/>
  <c r="AB41" i="39"/>
  <c r="W41" i="39"/>
  <c r="AC10" i="39"/>
  <c r="AL10" i="39" s="1"/>
  <c r="AC9" i="39"/>
  <c r="AC71" i="39"/>
  <c r="AL71" i="39" s="1"/>
  <c r="AC99" i="39"/>
  <c r="AL99" i="39" s="1"/>
  <c r="AC11" i="39"/>
  <c r="AL11" i="39" s="1"/>
  <c r="AC175" i="39"/>
  <c r="AL175" i="39" s="1"/>
  <c r="AC180" i="39"/>
  <c r="AC151" i="39"/>
  <c r="AL151" i="39" s="1"/>
  <c r="AC141" i="39"/>
  <c r="AL141" i="39" s="1"/>
  <c r="AC97" i="39"/>
  <c r="AC91" i="39"/>
  <c r="AC92" i="39"/>
  <c r="AC144" i="39"/>
  <c r="AC250" i="39"/>
  <c r="AC178" i="39"/>
  <c r="AC146" i="39"/>
  <c r="AL146" i="39" s="1"/>
  <c r="AC185" i="39"/>
  <c r="AL185" i="39" s="1"/>
  <c r="AC133" i="39"/>
  <c r="AL133" i="39" s="1"/>
  <c r="AC110" i="39"/>
  <c r="AL110" i="39" s="1"/>
  <c r="AC138" i="39"/>
  <c r="AC136" i="39"/>
  <c r="AC172" i="39"/>
  <c r="AC197" i="39"/>
  <c r="AL197" i="39" s="1"/>
  <c r="AC100" i="39"/>
  <c r="AL100" i="39" s="1"/>
  <c r="AC103" i="39"/>
  <c r="AC72" i="39"/>
  <c r="AL72" i="39" s="1"/>
  <c r="AC70" i="39"/>
  <c r="AC190" i="39"/>
  <c r="AL190" i="39" s="1"/>
  <c r="AC192" i="39"/>
  <c r="AL192" i="39" s="1"/>
  <c r="AC105" i="39"/>
  <c r="AL105" i="39" s="1"/>
  <c r="AC251" i="39"/>
  <c r="AL251" i="39" s="1"/>
  <c r="AC93" i="39"/>
  <c r="AL93" i="39" s="1"/>
  <c r="AC96" i="39"/>
  <c r="AC174" i="39"/>
  <c r="AC196" i="39"/>
  <c r="AL196" i="39" s="1"/>
  <c r="AC231" i="39"/>
  <c r="AC252" i="39"/>
  <c r="AC109" i="39"/>
  <c r="AL109" i="39" s="1"/>
  <c r="AC131" i="39"/>
  <c r="AC232" i="39"/>
  <c r="AL232" i="39" s="1"/>
  <c r="AC150" i="39"/>
  <c r="AL150" i="39" s="1"/>
  <c r="AC233" i="39"/>
  <c r="AC137" i="39"/>
  <c r="AL137" i="39" s="1"/>
  <c r="AC173" i="39"/>
  <c r="AC183" i="39"/>
  <c r="AC132" i="39"/>
  <c r="AC181" i="39"/>
  <c r="AL181" i="39" s="1"/>
  <c r="AC179" i="39"/>
  <c r="AL179" i="39" s="1"/>
  <c r="AH53" i="39"/>
  <c r="AI52" i="39"/>
  <c r="AF53" i="39"/>
  <c r="T53" i="39"/>
  <c r="V53" i="39" s="1"/>
  <c r="AC53" i="39"/>
  <c r="AD53" i="39"/>
  <c r="Y53" i="39"/>
  <c r="AA53" i="39"/>
  <c r="AB53" i="39"/>
  <c r="X53" i="39"/>
  <c r="W53" i="39"/>
  <c r="AL96" i="39" l="1"/>
  <c r="AL183" i="39"/>
  <c r="AL136" i="39"/>
  <c r="T59" i="39"/>
  <c r="AC17" i="39"/>
  <c r="AL132" i="39"/>
  <c r="AL174" i="39"/>
  <c r="AL252" i="39"/>
  <c r="AL103" i="39"/>
  <c r="AL178" i="39"/>
  <c r="AL144" i="39"/>
  <c r="AL180" i="39"/>
  <c r="AL97" i="39"/>
  <c r="AL173" i="39"/>
  <c r="AL92" i="39"/>
  <c r="AI138" i="39"/>
  <c r="AL138" i="39" s="1"/>
  <c r="AL55" i="39"/>
  <c r="AU48" i="39" s="1"/>
  <c r="W59" i="39"/>
  <c r="BC23" i="39"/>
  <c r="BC27" i="39"/>
  <c r="AA59" i="39"/>
  <c r="BC30" i="39"/>
  <c r="AD59" i="39"/>
  <c r="AY221" i="39"/>
  <c r="AI237" i="39"/>
  <c r="AZ20" i="39"/>
  <c r="AU125" i="39"/>
  <c r="AL53" i="39"/>
  <c r="AZ29" i="39"/>
  <c r="AY230" i="39"/>
  <c r="AL231" i="39"/>
  <c r="AL52" i="39"/>
  <c r="X59" i="39"/>
  <c r="BC24" i="39"/>
  <c r="V39" i="39"/>
  <c r="AC59" i="39"/>
  <c r="BC29" i="39"/>
  <c r="AH42" i="39"/>
  <c r="BC34" i="39" s="1"/>
  <c r="V42" i="39"/>
  <c r="BC21" i="39"/>
  <c r="AJ59" i="39"/>
  <c r="AU166" i="39"/>
  <c r="AD114" i="39"/>
  <c r="AL90" i="39"/>
  <c r="AD155" i="39"/>
  <c r="AY127" i="39"/>
  <c r="AL130" i="39"/>
  <c r="AL177" i="39"/>
  <c r="AC155" i="39"/>
  <c r="AY126" i="39"/>
  <c r="AL131" i="39"/>
  <c r="AC74" i="39"/>
  <c r="AY66" i="39"/>
  <c r="AY72" i="39" s="1"/>
  <c r="AO70" i="39"/>
  <c r="AL70" i="39"/>
  <c r="AY86" i="39"/>
  <c r="AC114" i="39"/>
  <c r="AL91" i="39"/>
  <c r="BC28" i="39"/>
  <c r="AB59" i="39"/>
  <c r="BC32" i="39"/>
  <c r="AF59" i="39"/>
  <c r="AY168" i="39"/>
  <c r="AL191" i="39"/>
  <c r="AD218" i="39"/>
  <c r="AY211" i="39"/>
  <c r="AL211" i="39"/>
  <c r="AL95" i="39"/>
  <c r="AI194" i="39"/>
  <c r="AL194" i="39" s="1"/>
  <c r="AU165" i="39" s="1"/>
  <c r="AI215" i="39"/>
  <c r="AL215" i="39" s="1"/>
  <c r="AU211" i="39" s="1"/>
  <c r="AI148" i="39"/>
  <c r="AI107" i="39"/>
  <c r="AI114" i="39" s="1"/>
  <c r="AI59" i="39"/>
  <c r="BC20" i="39"/>
  <c r="AC237" i="39"/>
  <c r="AL233" i="39"/>
  <c r="AC201" i="39"/>
  <c r="AY167" i="39"/>
  <c r="AL172" i="39"/>
  <c r="AY249" i="39"/>
  <c r="AC256" i="39"/>
  <c r="AL250" i="39"/>
  <c r="AY29" i="39"/>
  <c r="AY39" i="39" s="1"/>
  <c r="AL9" i="39"/>
  <c r="AL17" i="39" s="1"/>
  <c r="V41" i="39"/>
  <c r="AG41" i="39"/>
  <c r="BC25" i="39"/>
  <c r="Y59" i="39"/>
  <c r="AY240" i="39"/>
  <c r="AI256" i="39"/>
  <c r="AY87" i="39"/>
  <c r="AL111" i="39"/>
  <c r="AU85" i="39" s="1"/>
  <c r="AD201" i="39"/>
  <c r="AL171" i="39"/>
  <c r="AU83" i="39" l="1"/>
  <c r="AU164" i="39"/>
  <c r="AU123" i="39"/>
  <c r="AH59" i="39"/>
  <c r="AY117" i="39"/>
  <c r="AY132" i="39" s="1"/>
  <c r="AY255" i="39"/>
  <c r="AL107" i="39"/>
  <c r="AU84" i="39" s="1"/>
  <c r="AZ43" i="39"/>
  <c r="AY40" i="39"/>
  <c r="AU212" i="39"/>
  <c r="AU214" i="39" s="1"/>
  <c r="AL218" i="39"/>
  <c r="AY158" i="39"/>
  <c r="AY173" i="39" s="1"/>
  <c r="AG59" i="39"/>
  <c r="BC33" i="39"/>
  <c r="AU64" i="39"/>
  <c r="AU71" i="39" s="1"/>
  <c r="AM73" i="39"/>
  <c r="AL74" i="39"/>
  <c r="AI201" i="39"/>
  <c r="AU82" i="39"/>
  <c r="AL42" i="39"/>
  <c r="AU227" i="39"/>
  <c r="AU231" i="39" s="1"/>
  <c r="AL237" i="39"/>
  <c r="AZ39" i="39"/>
  <c r="AZ40" i="39" s="1"/>
  <c r="AL41" i="39"/>
  <c r="AU246" i="39"/>
  <c r="AU250" i="39" s="1"/>
  <c r="AL256" i="39"/>
  <c r="AI218" i="39"/>
  <c r="AY199" i="39"/>
  <c r="AY216" i="39" s="1"/>
  <c r="AU122" i="39"/>
  <c r="AL39" i="39"/>
  <c r="V59" i="39"/>
  <c r="BC22" i="39"/>
  <c r="AU163" i="39"/>
  <c r="AL201" i="39"/>
  <c r="AU8" i="39"/>
  <c r="AU15" i="39" s="1"/>
  <c r="AY77" i="39"/>
  <c r="AY92" i="39" s="1"/>
  <c r="AL148" i="39"/>
  <c r="AU124" i="39" s="1"/>
  <c r="AY236" i="39"/>
  <c r="AI155" i="39"/>
  <c r="AU168" i="39" l="1"/>
  <c r="BC39" i="39"/>
  <c r="BC44" i="39" s="1"/>
  <c r="AL114" i="39"/>
  <c r="AU87" i="39"/>
  <c r="AU127" i="39"/>
  <c r="AU42" i="39"/>
  <c r="AU49" i="39" s="1"/>
  <c r="AL155" i="39"/>
  <c r="AM58" i="39"/>
  <c r="AL59" i="39"/>
  <c r="BC40" i="39" l="1"/>
</calcChain>
</file>

<file path=xl/sharedStrings.xml><?xml version="1.0" encoding="utf-8"?>
<sst xmlns="http://schemas.openxmlformats.org/spreadsheetml/2006/main" count="1594" uniqueCount="595">
  <si>
    <t>min</t>
  </si>
  <si>
    <t>Reproductive Endocrinologists</t>
  </si>
  <si>
    <t>Embryologist</t>
  </si>
  <si>
    <t>Embryologist in training</t>
  </si>
  <si>
    <t>IVF Nurse</t>
  </si>
  <si>
    <t>Secretary Fertility Center</t>
  </si>
  <si>
    <t>Quality assurance officer</t>
  </si>
  <si>
    <t>Radiologist</t>
  </si>
  <si>
    <t>Doctor's assistant (DA)</t>
  </si>
  <si>
    <t>staff</t>
  </si>
  <si>
    <t>Nr</t>
  </si>
  <si>
    <t>Urologist</t>
  </si>
  <si>
    <t>Andrologist</t>
  </si>
  <si>
    <t>Radiology lab technician</t>
  </si>
  <si>
    <t>Lab Analyst Fertility center</t>
  </si>
  <si>
    <t>Anesthesiologist</t>
  </si>
  <si>
    <t>Anesthesiologist assistant</t>
  </si>
  <si>
    <t>yes</t>
  </si>
  <si>
    <t>no</t>
  </si>
  <si>
    <t>category</t>
  </si>
  <si>
    <t>direct</t>
  </si>
  <si>
    <t>cost</t>
  </si>
  <si>
    <t>FET</t>
  </si>
  <si>
    <t>OI Letrozol of Clomid CC</t>
  </si>
  <si>
    <t>IUI</t>
  </si>
  <si>
    <t>Equipment</t>
  </si>
  <si>
    <t>ICT and HR support</t>
  </si>
  <si>
    <t>Overheads</t>
  </si>
  <si>
    <t>Medication</t>
  </si>
  <si>
    <t>sum</t>
  </si>
  <si>
    <t>Ovitrelle trigger</t>
  </si>
  <si>
    <t>per</t>
  </si>
  <si>
    <t>pc</t>
  </si>
  <si>
    <t>ICT costs</t>
  </si>
  <si>
    <t>Type</t>
  </si>
  <si>
    <t>na</t>
  </si>
  <si>
    <t>Disposables</t>
  </si>
  <si>
    <t>pc (bundle)</t>
  </si>
  <si>
    <t>Gynecologist supervision of Arts VPG</t>
  </si>
  <si>
    <t>Gynecologist</t>
  </si>
  <si>
    <t>Cost Item</t>
  </si>
  <si>
    <t>Pharmacy medicatieverificatie&amp;logistiek</t>
  </si>
  <si>
    <t xml:space="preserve">Pharmacy depotheek </t>
  </si>
  <si>
    <t>Pharmacy productie</t>
  </si>
  <si>
    <t>year</t>
  </si>
  <si>
    <t>no, yes</t>
  </si>
  <si>
    <t>Laparoscopy required (default no)</t>
  </si>
  <si>
    <t>HSG required (default no)</t>
  </si>
  <si>
    <t>n</t>
  </si>
  <si>
    <t>input</t>
  </si>
  <si>
    <t>CCR1</t>
  </si>
  <si>
    <t>CCR2</t>
  </si>
  <si>
    <t>CCR3</t>
  </si>
  <si>
    <t>CCR4</t>
  </si>
  <si>
    <t>CCR5</t>
  </si>
  <si>
    <t>CCR6</t>
  </si>
  <si>
    <t>IUI (default no)</t>
  </si>
  <si>
    <t>yes, no</t>
  </si>
  <si>
    <t>Scheme 1 with 3 months Lucrin (default no)</t>
  </si>
  <si>
    <t>Withdrawal bleeding required (progestin) (default no)</t>
  </si>
  <si>
    <t>Number of blood tests ordered total (default 1 per round)</t>
  </si>
  <si>
    <t>external</t>
  </si>
  <si>
    <t>ICSI</t>
  </si>
  <si>
    <t>Number of blood tests (default 1)</t>
  </si>
  <si>
    <t>Agonist, Antagonist</t>
  </si>
  <si>
    <t>Agonist</t>
  </si>
  <si>
    <t>stimulated</t>
  </si>
  <si>
    <t>stimulated, natural</t>
  </si>
  <si>
    <t>CCR2 CCR3</t>
  </si>
  <si>
    <t>Natural cycle vs. stimulated menstruation (default stimulated)</t>
  </si>
  <si>
    <t>Tel consult if natural cycle (default na)</t>
  </si>
  <si>
    <t>embryo transfer can occur, proceed to thaw (default yes)</t>
  </si>
  <si>
    <t>embryo survives thawing and can be transferred (default yes)</t>
  </si>
  <si>
    <t>ET</t>
  </si>
  <si>
    <t>Activity</t>
  </si>
  <si>
    <t>number of embryos thawed</t>
  </si>
  <si>
    <t>Blood test pregnancy test</t>
  </si>
  <si>
    <t>CCR7</t>
  </si>
  <si>
    <t xml:space="preserve">AIOS </t>
  </si>
  <si>
    <t>CCR8</t>
  </si>
  <si>
    <t>CCR9</t>
  </si>
  <si>
    <t>CCR10</t>
  </si>
  <si>
    <t>1, 2, 3…</t>
  </si>
  <si>
    <t>1, 2,3…</t>
  </si>
  <si>
    <t>Number of consultations Urologist or Andrologist</t>
  </si>
  <si>
    <t>6, 7, 8, 9</t>
  </si>
  <si>
    <t xml:space="preserve">1, 2, 3, 4, </t>
  </si>
  <si>
    <t xml:space="preserve">3, 4, 5, 6, </t>
  </si>
  <si>
    <t>internal vs. external patient (OFO done locally and recently or not)</t>
  </si>
  <si>
    <t xml:space="preserve">internal, external </t>
  </si>
  <si>
    <t>if natural cycle: tel. consult</t>
  </si>
  <si>
    <t>Natural cycle vs. stimulated cycle (default stimulated)</t>
  </si>
  <si>
    <t>1,2,3, …20</t>
  </si>
  <si>
    <t>If Cryo: prepare dishes and media</t>
  </si>
  <si>
    <t xml:space="preserve">If Vitri: prepare dishes and media </t>
  </si>
  <si>
    <t>Ovum pickup after follicle aspiration</t>
  </si>
  <si>
    <t>IVF: dag 1 inspectie en cumulus removal</t>
  </si>
  <si>
    <t>ICSI: dag 1 inspectie</t>
  </si>
  <si>
    <t>ICSI: day 2 inspection</t>
  </si>
  <si>
    <t>IVF: day 2 inspection</t>
  </si>
  <si>
    <t>ICSI: day 3 inspection</t>
  </si>
  <si>
    <t>IVF: day 3 inspection</t>
  </si>
  <si>
    <t>Evaluatiegesprek indien ET niet mogelijk</t>
  </si>
  <si>
    <t>IVF: insemination in dish</t>
  </si>
  <si>
    <t>ICSI: insemination under microscope</t>
  </si>
  <si>
    <t>Embryo transfer preparation lab</t>
  </si>
  <si>
    <t>9a</t>
  </si>
  <si>
    <t>9b</t>
  </si>
  <si>
    <t>6a</t>
  </si>
  <si>
    <t>6b</t>
  </si>
  <si>
    <t>Arts VPG min</t>
  </si>
  <si>
    <t>Staff Lab time (analyst and Embr)</t>
  </si>
  <si>
    <t xml:space="preserve"> IVF Nurse</t>
  </si>
  <si>
    <t>Urologist min</t>
  </si>
  <si>
    <t>Radiologist min</t>
  </si>
  <si>
    <t>Radiology lab technician min</t>
  </si>
  <si>
    <t>Anesthesiologist min</t>
  </si>
  <si>
    <t>Anesthesiologist assistant min</t>
  </si>
  <si>
    <t>Pharmacy medicatieverificatie&amp;logistiek min</t>
  </si>
  <si>
    <t>Pharmacy depotheek min</t>
  </si>
  <si>
    <t>total minutes care professional</t>
  </si>
  <si>
    <t xml:space="preserve">CCR2 Physician </t>
  </si>
  <si>
    <t>CCR3 IVF Nurse</t>
  </si>
  <si>
    <t>CCR5 Urologist</t>
  </si>
  <si>
    <t>CCR1 Gyn with DA</t>
  </si>
  <si>
    <t>CCR0</t>
  </si>
  <si>
    <t>CCR name</t>
  </si>
  <si>
    <t>CCR per min</t>
  </si>
  <si>
    <t>CCR0 Building, facilities, support staff</t>
  </si>
  <si>
    <t xml:space="preserve">2, 3, 4, </t>
  </si>
  <si>
    <t>Blood test costs</t>
  </si>
  <si>
    <t>CCR1 CCR2 CCR3 CCR4</t>
  </si>
  <si>
    <t>CCR7 CCR6</t>
  </si>
  <si>
    <t>Gynecologist and DA min</t>
  </si>
  <si>
    <t>CCR1 CCR3</t>
  </si>
  <si>
    <t>Arts VPG</t>
  </si>
  <si>
    <t>Equipment bundle lab IVF &amp; ICSI</t>
  </si>
  <si>
    <t>Equipment bundle lab ICSI</t>
  </si>
  <si>
    <t>blood test</t>
  </si>
  <si>
    <t>year, incl maintenance</t>
  </si>
  <si>
    <t>Yearly cost - description</t>
  </si>
  <si>
    <t>CCR14</t>
  </si>
  <si>
    <t>code</t>
  </si>
  <si>
    <t>CCR8 Lab IVF &amp; ICSI</t>
  </si>
  <si>
    <t>CCR9 Lab ICSI</t>
  </si>
  <si>
    <t>CCR10 Lab Cryo</t>
  </si>
  <si>
    <t>CCR11 Radiology</t>
  </si>
  <si>
    <t>CCR1 CCR3 CCR11</t>
  </si>
  <si>
    <t>CCR6 CCR7</t>
  </si>
  <si>
    <t>CCR4 CCR5</t>
  </si>
  <si>
    <t>CCR1 CCR3 CCR4</t>
  </si>
  <si>
    <t>CCR1 CCR12 CCR3</t>
  </si>
  <si>
    <t>CCR2 CCR3 CCR4</t>
  </si>
  <si>
    <t>CCR6 CCR7 CCR8</t>
  </si>
  <si>
    <t>CCR6 CCR7 CCR8 CCR9</t>
  </si>
  <si>
    <t>direct fixed disposables</t>
  </si>
  <si>
    <t>CCR6 CCR8</t>
  </si>
  <si>
    <t>CCR6 CCR9</t>
  </si>
  <si>
    <t>CCR6 CCR7 CCR10</t>
  </si>
  <si>
    <t>CCR1 CCR3 CCR11 CCR4</t>
  </si>
  <si>
    <t>CCR6 CCR7 CCR9</t>
  </si>
  <si>
    <t>CCR2 CCR3 CCR6 CCR7 CCR7</t>
  </si>
  <si>
    <t>CCR1 CCR3 CCR12</t>
  </si>
  <si>
    <t>CCR3 CCR2</t>
  </si>
  <si>
    <t>Failed cycle, no puncture possible</t>
  </si>
  <si>
    <t>Failed cycle, no ET possible</t>
  </si>
  <si>
    <t>0, 1, 2,3…</t>
  </si>
  <si>
    <t>0, 1, 2, 3…</t>
  </si>
  <si>
    <t>Number of SSTs (SOTs) required</t>
  </si>
  <si>
    <t>Number of echos/consultations before puncture</t>
  </si>
  <si>
    <t>Stimulation protocol (default Agonist)</t>
  </si>
  <si>
    <t>1, 2,3,4…</t>
  </si>
  <si>
    <t>voorbereiding</t>
  </si>
  <si>
    <t>no, failed</t>
  </si>
  <si>
    <t>IVF</t>
  </si>
  <si>
    <t>Cryo DMSO, Cryo Blasto, Vitri</t>
  </si>
  <si>
    <t>Freeze method (also indicates day of freeze)</t>
  </si>
  <si>
    <t>Freeze/thaw method (also indicates day of freeze)</t>
  </si>
  <si>
    <t>n/a</t>
  </si>
  <si>
    <t>Salaries</t>
  </si>
  <si>
    <t>CCR7 General lab incl semen</t>
  </si>
  <si>
    <t>Gynecologist and assisstant's salary (1:1)</t>
  </si>
  <si>
    <t>Fertility Doctor's/Physician salaries</t>
  </si>
  <si>
    <t>Nurse's salaries</t>
  </si>
  <si>
    <t>CCR6 Staff lab ( Embryologist &amp; Analysts)</t>
  </si>
  <si>
    <t>CCR11</t>
  </si>
  <si>
    <t>CCR12</t>
  </si>
  <si>
    <t>Rent, infrastructure, IT, support staff, weekly team meeting</t>
  </si>
  <si>
    <t>Physician (Arts VPG), available for 32 hours for consults, 80%</t>
  </si>
  <si>
    <t>Gynecologists &amp; physicians, assuming available for 4 hours a day for consultations each</t>
  </si>
  <si>
    <t>Embryoslide (1 per 16 embryos)</t>
  </si>
  <si>
    <t>CCR8 IVF &amp; ICSI lab</t>
  </si>
  <si>
    <t>CCR9 ICSI lab</t>
  </si>
  <si>
    <t>CCR10 Cryopreservation lab</t>
  </si>
  <si>
    <t>Treatment</t>
  </si>
  <si>
    <t>IFA</t>
  </si>
  <si>
    <t>OI</t>
  </si>
  <si>
    <t>Clomid or Letrozole</t>
  </si>
  <si>
    <t>Gonadotropins</t>
  </si>
  <si>
    <t>Phase of treatment</t>
  </si>
  <si>
    <t>Stimulation and/or monitoring</t>
  </si>
  <si>
    <t>Egg retrieval</t>
  </si>
  <si>
    <t>Embryo Transfer</t>
  </si>
  <si>
    <t>Evaluation</t>
  </si>
  <si>
    <t xml:space="preserve">Total </t>
  </si>
  <si>
    <t>CCR0: building, facilities, support staff</t>
  </si>
  <si>
    <t>CCR1: Gyn with DA</t>
  </si>
  <si>
    <t>CCR4 Clinic equipment and disp.</t>
  </si>
  <si>
    <t xml:space="preserve">CCR6 Staff IVF lab </t>
  </si>
  <si>
    <t xml:space="preserve">CCR7 Semen lab </t>
  </si>
  <si>
    <t>Failed simulation, no IUI possible</t>
  </si>
  <si>
    <t>CCR6 CCR10 CCR8</t>
  </si>
  <si>
    <t>CCR2 CCR3 CCR6 CCR8 CCR4</t>
  </si>
  <si>
    <t>Cryo Blasto</t>
  </si>
  <si>
    <t>2,3,4,5,6,7,8,9,10…. Med=6</t>
  </si>
  <si>
    <t>both</t>
  </si>
  <si>
    <t xml:space="preserve">Stimulation medication bundle IUI </t>
  </si>
  <si>
    <t>Stimulation  medication bundle IVF/ICSI</t>
  </si>
  <si>
    <t>Intra-uterine insemination</t>
  </si>
  <si>
    <t>Natural cycle</t>
  </si>
  <si>
    <t>Stimulated cycle</t>
  </si>
  <si>
    <t>Gonado-tropins</t>
  </si>
  <si>
    <t xml:space="preserve">Intake and/or diagnostics </t>
  </si>
  <si>
    <t>Insemination and/or fertilization</t>
  </si>
  <si>
    <t xml:space="preserve">Freezing or thawing </t>
  </si>
  <si>
    <t>Significant disposables, blood tests</t>
  </si>
  <si>
    <t>Direct medication costs</t>
  </si>
  <si>
    <t>Stimulation medication bundle OI (Gonadotropins)</t>
  </si>
  <si>
    <t>Stimulation medication bundle OI (Letrozole/Clomid CC)</t>
  </si>
  <si>
    <t>Stimulation  medication bundle FET</t>
  </si>
  <si>
    <t>CCR10 CCR8</t>
  </si>
  <si>
    <t>intake IVF/ICSI</t>
  </si>
  <si>
    <t>Number of tubes from puncture</t>
  </si>
  <si>
    <t>1, 2, 3, … (default mean)</t>
  </si>
  <si>
    <t>Number of IVF oocytes (predicted)</t>
  </si>
  <si>
    <t>Number of IVF oocytes (realized)</t>
  </si>
  <si>
    <t>Number of ICSI oocytes (predicted)</t>
  </si>
  <si>
    <t>Number of ICSI oocytes (realized)</t>
  </si>
  <si>
    <t>Number of ICSI oocytes (for Hya)</t>
  </si>
  <si>
    <t>voorbereiding ontrekkingsbloeding</t>
  </si>
  <si>
    <t xml:space="preserve">Embryos </t>
  </si>
  <si>
    <r>
      <t xml:space="preserve">2,3,4,5,6,7,8,9,10…. </t>
    </r>
    <r>
      <rPr>
        <sz val="11"/>
        <rFont val="Times New Roman"/>
        <family val="1"/>
      </rPr>
      <t>Med=6</t>
    </r>
  </si>
  <si>
    <t>Mean of Number of IVF oocytes (predicted)</t>
  </si>
  <si>
    <t>Mean of Number of IVF oocytes (realized)</t>
  </si>
  <si>
    <t>Mean of Number of Embryos</t>
  </si>
  <si>
    <t>Mean Number of ICSI Embryos</t>
  </si>
  <si>
    <t>Number of IVF/ICSI oocytes (predicted)</t>
  </si>
  <si>
    <t>Number of IVF/ICSI oocytes (realized)</t>
  </si>
  <si>
    <t>Care Path</t>
  </si>
  <si>
    <t>Mean time needed per "IVF: IVF dishes voorbereiden"</t>
  </si>
  <si>
    <t>Mean time needed per "IVF: dag 1 inspectie en cumulus removal"</t>
  </si>
  <si>
    <t>Mean time needed per "IVF: day 2/3/4/5 inspection"</t>
  </si>
  <si>
    <t>Mean time needed per "ICSI: ICSI dishes voorbereiden incl embryoslide"</t>
  </si>
  <si>
    <t>Mean time needed per "ICSI: Hyluronic Acid wash"</t>
  </si>
  <si>
    <t>Mean time needed per "ICSI Insemination under microscope"</t>
  </si>
  <si>
    <t>Mean time needed per "ICSI day 2/3/4/5 inspection"</t>
  </si>
  <si>
    <t>Mean Number of ICSI oocytes (predicted)</t>
  </si>
  <si>
    <t>Mean Number of ICSI oocytes (realized)</t>
  </si>
  <si>
    <t>Mean Number of ICSI oocytes (for Hya)</t>
  </si>
  <si>
    <t>Mean Number of IVF/ICSI oocytes (predicted)</t>
  </si>
  <si>
    <t>Mean Number of IVF/ICSI oocytes (realized)</t>
  </si>
  <si>
    <t>Mean Number of IVF/ICSI Embryos</t>
  </si>
  <si>
    <t>Mean Number of IVF/ICSI oocytes (for Hya)</t>
  </si>
  <si>
    <t>CCR 3</t>
  </si>
  <si>
    <t>CCR4 Clinic equipment, disposables, general medication</t>
  </si>
  <si>
    <t>natural</t>
  </si>
  <si>
    <t>CCR1 CCR4</t>
  </si>
  <si>
    <t>CCR1 CCR2 CCR4</t>
  </si>
  <si>
    <t>Total number of consultations (default 1 per round)</t>
  </si>
  <si>
    <t>CCR0 General</t>
  </si>
  <si>
    <t>CCR2 Arts VPG</t>
  </si>
  <si>
    <t>CCR4 Clinic rooms (equip., disposables, meds)</t>
  </si>
  <si>
    <t>CCR6 Lab staff</t>
  </si>
  <si>
    <t>CCR7 General lab</t>
  </si>
  <si>
    <t>CCR8 Lab IVF/ICSI</t>
  </si>
  <si>
    <t>CCR9 Lab ICSI room</t>
  </si>
  <si>
    <t>CCR10 Lab Cryo rooms</t>
  </si>
  <si>
    <t>CCR12 OR Lapa</t>
  </si>
  <si>
    <t>Specification of treatment</t>
  </si>
  <si>
    <t>CCR2 Physician/Arts VPG</t>
  </si>
  <si>
    <t>IUI Stimulated</t>
  </si>
  <si>
    <t>Number of consultations prior to insemination (default 1 if unstimulated)</t>
  </si>
  <si>
    <t>Number of consultations prior to insemination (default 3 if stimulated)</t>
  </si>
  <si>
    <t>Intake for IVF/ICSI</t>
  </si>
  <si>
    <t>internal patients</t>
  </si>
  <si>
    <t>CCR12 Laparoscopy </t>
  </si>
  <si>
    <t>check match bottom half/top half of table</t>
  </si>
  <si>
    <t>Blood test OFO (2x progesterone, FSH, E2, AMH, Chlamydia trachomatis)</t>
  </si>
  <si>
    <t>Standard blood test (f) during stimulation phases of IVF or OI (FSH, E2)</t>
  </si>
  <si>
    <t>Puncture suction pump</t>
  </si>
  <si>
    <t>Blood test infection screening (serology; during IVF intake; Hep B, Hep C, HIV; Lues)</t>
  </si>
  <si>
    <t>Disposable bundle  IUI for insemination</t>
  </si>
  <si>
    <t>Disposable bundle ICSI needles (one pair)</t>
  </si>
  <si>
    <t>Disposable bundle ET set incl. cathether (frozen or fresh cycle)</t>
  </si>
  <si>
    <t>Disposable bundle puncture/follicular aspiration</t>
  </si>
  <si>
    <t>Yearly disposables clinic used during ETs, punctures, consults, IUIs</t>
  </si>
  <si>
    <t>CCR4 CCR5 CCR11</t>
  </si>
  <si>
    <t>First cycle</t>
  </si>
  <si>
    <t>Second cycle</t>
  </si>
  <si>
    <t>Number of consultations (default 4 before trigger, 7 total)</t>
  </si>
  <si>
    <t>Number of blood tests ordered total (default 2)</t>
  </si>
  <si>
    <t>Blood test (f) Progesterone for during OI CC/Letrozole</t>
  </si>
  <si>
    <t xml:space="preserve">CCR1 </t>
  </si>
  <si>
    <t>Blood test (f) Progesterone and LH during FET</t>
  </si>
  <si>
    <t>IUI natural</t>
  </si>
  <si>
    <t>4a</t>
  </si>
  <si>
    <t>4b</t>
  </si>
  <si>
    <t>1, 2, 3, … (default mean 6,2)</t>
  </si>
  <si>
    <t>Initial Fertility Assessment</t>
  </si>
  <si>
    <t>Intra-uterine Insemination (IUI)</t>
  </si>
  <si>
    <t xml:space="preserve">Ovulation Induction (OI) </t>
  </si>
  <si>
    <t>Number of oocytes predicted</t>
  </si>
  <si>
    <t>Number of oocytes fertilized with IVF</t>
  </si>
  <si>
    <t>Freezing technique</t>
  </si>
  <si>
    <t>HSG required?</t>
  </si>
  <si>
    <t>Diagnostic operation required?</t>
  </si>
  <si>
    <t>Diagnostics</t>
  </si>
  <si>
    <t>Treatment cycles</t>
  </si>
  <si>
    <t>Cost estimate</t>
  </si>
  <si>
    <t>Number of consultations OI</t>
  </si>
  <si>
    <t>Number of consultations IUI</t>
  </si>
  <si>
    <t>Clomid CC or Letrozole</t>
  </si>
  <si>
    <t>2 (default)</t>
  </si>
  <si>
    <t>no (default)</t>
  </si>
  <si>
    <t>Number of diagnostic consultations with Gynecologist</t>
  </si>
  <si>
    <t>Embryo transfer cancelled?</t>
  </si>
  <si>
    <t>Type of stimulation</t>
  </si>
  <si>
    <t>Treatment cycles; OI</t>
  </si>
  <si>
    <t>Treatment cycles; IUI</t>
  </si>
  <si>
    <t>In-vitro fertilization (IVF) intake</t>
  </si>
  <si>
    <t>Number of IVF intake consultations with Gynecologist</t>
  </si>
  <si>
    <t>Number of semen survival tests (SSTs) required?</t>
  </si>
  <si>
    <t>Number of semen survival tests (SSTs) required</t>
  </si>
  <si>
    <t>1 (default)</t>
  </si>
  <si>
    <t>1 (default if unstimulated)</t>
  </si>
  <si>
    <t>3 (default with stimulation)</t>
  </si>
  <si>
    <t>Treatment cycles; IVF</t>
  </si>
  <si>
    <t>Number of consultations (IVF)</t>
  </si>
  <si>
    <t>In-vitro Fertilisation</t>
  </si>
  <si>
    <t>5 (default if successful cycle)</t>
  </si>
  <si>
    <t>6 (default if unsuccessful cycle)</t>
  </si>
  <si>
    <t>30+</t>
  </si>
  <si>
    <t>Number of oocytes fertilized with ICSI</t>
  </si>
  <si>
    <t>20+</t>
  </si>
  <si>
    <t>Cryopreservation (day 3 or 4; early cleavage stage)</t>
  </si>
  <si>
    <t>Cryopreservation (day 5; Blastocyst stage)</t>
  </si>
  <si>
    <t>Vitrification (day 5 Blastocyst stage)</t>
  </si>
  <si>
    <t>Number of embryos thawed for Embryo Transfer</t>
  </si>
  <si>
    <t>Frozen Embryo Transfer</t>
  </si>
  <si>
    <t>Treatment cycles; FET</t>
  </si>
  <si>
    <t>Thawing technique</t>
  </si>
  <si>
    <t>5+</t>
  </si>
  <si>
    <t>Number of consultations (FET)</t>
  </si>
  <si>
    <t>FET stimulation</t>
  </si>
  <si>
    <t>Initial Fertility Assessment (IFA)</t>
  </si>
  <si>
    <t>Initial Fertility Assessment (IFA) cost estimate</t>
  </si>
  <si>
    <t>IVF intake cost estimate</t>
  </si>
  <si>
    <t>Urology or Andrology consult?</t>
  </si>
  <si>
    <t>Testicular Ultrasound?</t>
  </si>
  <si>
    <t>Urology or Andrology consultation with testicular ultrasound?</t>
  </si>
  <si>
    <t>Gonal-F/FSH</t>
  </si>
  <si>
    <t>Mean time needed per "IVF: day 2/3/4/5 inspection" plus 5 minutes of setup</t>
  </si>
  <si>
    <t>Diagnostic</t>
  </si>
  <si>
    <t>Cost estimates per phase per treatment</t>
  </si>
  <si>
    <t>IVF Intake</t>
  </si>
  <si>
    <t xml:space="preserve">IVF </t>
  </si>
  <si>
    <t>Phase 1 Stimulation</t>
  </si>
  <si>
    <t>Phase 2 Egg retrieval</t>
  </si>
  <si>
    <t>Phase 3 Fertilization</t>
  </si>
  <si>
    <t>5 Freeze or thaw</t>
  </si>
  <si>
    <t>ICSI/IVF half half</t>
  </si>
  <si>
    <t>natural cycle</t>
  </si>
  <si>
    <t>stimulated cycle</t>
  </si>
  <si>
    <t>IVF only</t>
  </si>
  <si>
    <t>ICSI only</t>
  </si>
  <si>
    <t>Cost estimates from left summarized in single table (table 2 in MS)</t>
  </si>
  <si>
    <r>
      <t>½</t>
    </r>
    <r>
      <rPr>
        <i/>
        <sz val="14"/>
        <color theme="1"/>
        <rFont val="Times New Roman"/>
        <family val="1"/>
      </rPr>
      <t xml:space="preserve"> IVF</t>
    </r>
  </si>
  <si>
    <r>
      <t>½</t>
    </r>
    <r>
      <rPr>
        <i/>
        <sz val="14"/>
        <color theme="1"/>
        <rFont val="Times New Roman"/>
        <family val="1"/>
      </rPr>
      <t>ICSI</t>
    </r>
  </si>
  <si>
    <r>
      <t>Cost breakdown/stratification:</t>
    </r>
    <r>
      <rPr>
        <sz val="14"/>
        <color theme="1"/>
        <rFont val="Times New Roman"/>
        <family val="1"/>
      </rPr>
      <t> </t>
    </r>
  </si>
  <si>
    <t>FET unstimulated</t>
  </si>
  <si>
    <t>FET stimulated</t>
  </si>
  <si>
    <t>IVF half half</t>
  </si>
  <si>
    <t>IVF Intake (external)</t>
  </si>
  <si>
    <t>IVF Intake (internal)</t>
  </si>
  <si>
    <t>IUI stimulated</t>
  </si>
  <si>
    <t>IUI Natural</t>
  </si>
  <si>
    <t>OI Clomid Letrozole</t>
  </si>
  <si>
    <t>OI Gonadotropin</t>
  </si>
  <si>
    <t>IVF Intake internal</t>
  </si>
  <si>
    <t>IVF combination</t>
  </si>
  <si>
    <t>FET natural</t>
  </si>
  <si>
    <t>OI Gonadotropins</t>
  </si>
  <si>
    <t>Freeze or thaw Cryo blasto</t>
  </si>
  <si>
    <t>Freeze or thaw Vitri</t>
  </si>
  <si>
    <t>Cycle 1</t>
  </si>
  <si>
    <t>Cycle 2</t>
  </si>
  <si>
    <t>Cycle 3</t>
  </si>
  <si>
    <t>Cycle 4</t>
  </si>
  <si>
    <t>Cycle 5</t>
  </si>
  <si>
    <t>Cycle 6</t>
  </si>
  <si>
    <t>Cycle 7</t>
  </si>
  <si>
    <t>Cycle 8</t>
  </si>
  <si>
    <t>Cycle 9</t>
  </si>
  <si>
    <t>Cycle 10</t>
  </si>
  <si>
    <t>Cycle 11</t>
  </si>
  <si>
    <t>Cycle 12</t>
  </si>
  <si>
    <t>Cycle 13</t>
  </si>
  <si>
    <t>Cycle 14</t>
  </si>
  <si>
    <t>Cycle 15</t>
  </si>
  <si>
    <t>Cycle 16</t>
  </si>
  <si>
    <t>Cycle 17</t>
  </si>
  <si>
    <t>Cycle 18</t>
  </si>
  <si>
    <t>Cycle 19</t>
  </si>
  <si>
    <t>Cycle 20</t>
  </si>
  <si>
    <t>Input</t>
  </si>
  <si>
    <t>Item</t>
  </si>
  <si>
    <t>Ovulation induction</t>
  </si>
  <si>
    <t>In-vitro Fertilisation (IVF)</t>
  </si>
  <si>
    <t>OI Clomid CC or Letrozole</t>
  </si>
  <si>
    <t>IUI with stimulation medication</t>
  </si>
  <si>
    <t>IUI with natural cycle</t>
  </si>
  <si>
    <t>IVF small</t>
  </si>
  <si>
    <t>IVF medium</t>
  </si>
  <si>
    <t>IVF large</t>
  </si>
  <si>
    <t>IVF/ICSI combination medium</t>
  </si>
  <si>
    <t>IVF/ICSI combination large</t>
  </si>
  <si>
    <t>ICSI small</t>
  </si>
  <si>
    <t>ICSI medium</t>
  </si>
  <si>
    <t>ICSI large</t>
  </si>
  <si>
    <t>Expectant monitoring</t>
  </si>
  <si>
    <t>Frozen embryo transfer (FET)</t>
  </si>
  <si>
    <t>FET with natural cycle</t>
  </si>
  <si>
    <t>FET with stimulation medication</t>
  </si>
  <si>
    <t>please select</t>
  </si>
  <si>
    <t>Total cost estimate</t>
  </si>
  <si>
    <t>Step number</t>
  </si>
  <si>
    <t>Inititial Child Wish consultation</t>
  </si>
  <si>
    <t>Life style consultation with nurse</t>
  </si>
  <si>
    <t>Basal temperature cycle monitoring</t>
  </si>
  <si>
    <t>Blood tests throughout cycle (3)</t>
  </si>
  <si>
    <t>Laboratory processing on day of sement surivival test (SST)</t>
  </si>
  <si>
    <t>Laboratory preparation for semen survival test (SST)</t>
  </si>
  <si>
    <t>Relevant CCRs</t>
  </si>
  <si>
    <t xml:space="preserve">Initial Fertility Assessment </t>
  </si>
  <si>
    <t xml:space="preserve">Patient time </t>
  </si>
  <si>
    <t>Consultation in case HSG or Laparoscopy are required</t>
  </si>
  <si>
    <t>Diagnostics: Hysterosalpingography (HSG)</t>
  </si>
  <si>
    <t>Diagnostics: Laparoscopy</t>
  </si>
  <si>
    <t>Diagnostics: Consultation with Urologist or Andrologist and testicular ultrasound</t>
  </si>
  <si>
    <t>Concluding consultation to discuss IFA results and treatment plan</t>
  </si>
  <si>
    <t>Totals</t>
  </si>
  <si>
    <t>item</t>
  </si>
  <si>
    <t>options</t>
  </si>
  <si>
    <t>Number of consultations Urologist or Andrologist (default 0)</t>
  </si>
  <si>
    <t>Total number of consultations clinic (default 2)</t>
  </si>
  <si>
    <t>Number of SSTs required (default 1)</t>
  </si>
  <si>
    <t>Total number of clinic consultations (default 2)</t>
  </si>
  <si>
    <t xml:space="preserve">In-vitro fertilisation </t>
  </si>
  <si>
    <t>Volume:</t>
  </si>
  <si>
    <t>Duration</t>
  </si>
  <si>
    <t>In-vitro fertilisation with ICSI</t>
  </si>
  <si>
    <t>Eval</t>
  </si>
  <si>
    <t>Duration:</t>
  </si>
  <si>
    <t>In-vitro fertilisation (combination with 50% IVF and 50% ICSI)</t>
  </si>
  <si>
    <t>IUI natural cycle</t>
  </si>
  <si>
    <t>total cost</t>
  </si>
  <si>
    <t>capacity cost rates</t>
  </si>
  <si>
    <t>total costs</t>
  </si>
  <si>
    <t>Prepatory treatment with progestin (if needed)</t>
  </si>
  <si>
    <t>Blood test</t>
  </si>
  <si>
    <t>Treatment with fixed dosage</t>
  </si>
  <si>
    <t>Evaluation consultation with ultrasound</t>
  </si>
  <si>
    <t>Diagnostics: HSG</t>
  </si>
  <si>
    <t>Diagnostics: Laparascopy</t>
  </si>
  <si>
    <t>Pregnancy test, consultation and ultrasound</t>
  </si>
  <si>
    <t>Patient emails nurse to inform her of her cycle start day</t>
  </si>
  <si>
    <t>Initial ultrasound and consultation</t>
  </si>
  <si>
    <t>In case of cysts, wait until these have shrunk</t>
  </si>
  <si>
    <t xml:space="preserve">Treatment </t>
  </si>
  <si>
    <t xml:space="preserve">Ovulation trigger injection </t>
  </si>
  <si>
    <t xml:space="preserve">SST in laboratory, including wash, count, evaluation and administration </t>
  </si>
  <si>
    <t>In case of IUI: IUI preparation in laboratory (including wash, count, administration)</t>
  </si>
  <si>
    <t>In case of IUI: IUI insemination</t>
  </si>
  <si>
    <t>Pregnancy test</t>
  </si>
  <si>
    <t>Telephone consult</t>
  </si>
  <si>
    <t>If pregnant: evaluation consultation with ultrasound</t>
  </si>
  <si>
    <t>if necessary (e.g. patient from other clinic): Initial Child Wish consultation</t>
  </si>
  <si>
    <t>if necessary (e.g. patient from other clinic): Lifestyle consultation with nurse</t>
  </si>
  <si>
    <t>if necessary (e.g. patient from other clinic): Basal temperature cycle monitoring</t>
  </si>
  <si>
    <t>Infection screening (serology)</t>
  </si>
  <si>
    <t>if necessary: diagnostic HSG</t>
  </si>
  <si>
    <t>if necessary: diagnostic Laparoscopy</t>
  </si>
  <si>
    <t>Consultation in case diagnostics are required (HSG or Lapa)</t>
  </si>
  <si>
    <t>if necessary (e.g. patient from other clinic):  Testicular ultrasound</t>
  </si>
  <si>
    <t>if necessary (e.g. patient from other clinic): Consultation with Urologist or Andrologist</t>
  </si>
  <si>
    <t>Laboratory receives SST</t>
  </si>
  <si>
    <t>Laboratory processing on day of SST</t>
  </si>
  <si>
    <t>Evaluation consultation with ultrasound; treatment protocol is chosen</t>
  </si>
  <si>
    <t>if necessary: Pre-treatment with long agonist treatment protocol (3 months)</t>
  </si>
  <si>
    <t>Consultation with IVF nurse</t>
  </si>
  <si>
    <t>Patient emails IVF nurse to inform her of her cycle start</t>
  </si>
  <si>
    <t>Agonist/Antagonist treatment protocol</t>
  </si>
  <si>
    <t>Ultrasound and consultation</t>
  </si>
  <si>
    <t>Blood test (if necessary)</t>
  </si>
  <si>
    <t>if necessary: wait until cysts have shrunk</t>
  </si>
  <si>
    <t>if necessary: consultation to discuss further treatment options</t>
  </si>
  <si>
    <t>Ovulation trigger</t>
  </si>
  <si>
    <t xml:space="preserve">Laboratory prepares puncture </t>
  </si>
  <si>
    <t>Laboratory prepares semen wash materials</t>
  </si>
  <si>
    <t>IVF dishes are prepared with stickers, administration, etc.</t>
  </si>
  <si>
    <t xml:space="preserve">Patient submits sperm sample, laboratory prepares sample </t>
  </si>
  <si>
    <t>Patient is prepared for the follicular puncture</t>
  </si>
  <si>
    <t>Vaginal follicular aspiration (puncture)</t>
  </si>
  <si>
    <t>IVF insemination</t>
  </si>
  <si>
    <t>IVF day 1 inspection</t>
  </si>
  <si>
    <t>Tel. consult to discuss the results of the puncture</t>
  </si>
  <si>
    <t>Tel. consult to discuss the results of the fertilisation, plan ET</t>
  </si>
  <si>
    <t>IVF day 2 inspection</t>
  </si>
  <si>
    <t>IVF day 3 inspection</t>
  </si>
  <si>
    <t>Embryo transfer preparation laboratory</t>
  </si>
  <si>
    <t>if necessary: day 4 and day 5 inspection</t>
  </si>
  <si>
    <t>Tel. consult if ET is not possible and must be cancelled</t>
  </si>
  <si>
    <t>Evaluation consultation in case ET was not possible</t>
  </si>
  <si>
    <t>Embryo transfer procedure</t>
  </si>
  <si>
    <t>Laboratory prepares dishes and material for embryo freezing</t>
  </si>
  <si>
    <t>Embryo freeze (cryopreservation)</t>
  </si>
  <si>
    <t>Embryo freeze (vitrification)</t>
  </si>
  <si>
    <t xml:space="preserve">Tel. consult to discuss the result of the freeze, letter is sent </t>
  </si>
  <si>
    <t>Ultrasound and consutlation (2nd pregnancy test)</t>
  </si>
  <si>
    <t>Ultrasound and consutlation (1st pregnancy test)</t>
  </si>
  <si>
    <t>ICSI: hyaluronidase wash to prepare oocytes</t>
  </si>
  <si>
    <t>ICSI day 1 inspection</t>
  </si>
  <si>
    <t>ICSI day 2 inspection</t>
  </si>
  <si>
    <t>ICSI day 3 inspection</t>
  </si>
  <si>
    <t>ICSI dishes are prepared with stickers, administration, etc.</t>
  </si>
  <si>
    <t>Tel. consult to discuss the results of the fertilisation</t>
  </si>
  <si>
    <t>if necessary: medication stimulation to prepare uterine lining for ET</t>
  </si>
  <si>
    <t>if necessary, prepatory treatment with progestin</t>
  </si>
  <si>
    <t>Treatment or tel. consult (in case of natural cycle)</t>
  </si>
  <si>
    <t>Consultation with ultrasound on CD 10</t>
  </si>
  <si>
    <t>Ovultation trigger injection</t>
  </si>
  <si>
    <t>If Cryo: Thaw embryo (Blastocyst or DMSO)</t>
  </si>
  <si>
    <t>If Vitri: Thaw embryo (day 5)</t>
  </si>
  <si>
    <t>Embrotransfer procedure</t>
  </si>
  <si>
    <t>if stimulated cycle: Consultation with ultrasound x2</t>
  </si>
  <si>
    <t>if necessary, consultation and ultrasound (if cycle has failed)</t>
  </si>
  <si>
    <t>Ovulation test</t>
  </si>
  <si>
    <t>Ovulation trigger injection</t>
  </si>
  <si>
    <t>Laboratory prepares IUI materials (day in advance of procedure)</t>
  </si>
  <si>
    <t>IUI procedure</t>
  </si>
  <si>
    <t>Consultation and ultrasound (CD3)</t>
  </si>
  <si>
    <t>OI Gonadotropins/FSH</t>
  </si>
  <si>
    <t>Totals configured</t>
  </si>
  <si>
    <t>If necessary, blood test (LH, Progesteron), typically only in stimulated cycle</t>
  </si>
  <si>
    <t>Practical capacity of resource doing the work - description</t>
  </si>
  <si>
    <t>CCR12 OK Laparoscopy</t>
  </si>
  <si>
    <t>3 ultrasound machines, purchase price, depreciated over lifetime</t>
  </si>
  <si>
    <t>Salaries of radiologist, assisstant, nurse</t>
  </si>
  <si>
    <t>Equipment depreciation and maintenance, all disposables used in general lab area</t>
  </si>
  <si>
    <t>Equipment depreciation costs and disposables relating only to IVF</t>
  </si>
  <si>
    <t>Equipment depreciation costs and disposables relating only to ICSI</t>
  </si>
  <si>
    <t>Equipment depreciation costs and disposables relating only to Cryopreservation, incl. liquid nitrogen orders</t>
  </si>
  <si>
    <t>Salaries of all staff involved in procedure</t>
  </si>
  <si>
    <t>Gyn with DA, gyn available for 24 of 38 hours for consults, 80%</t>
  </si>
  <si>
    <t>IVF Nurse, always available when working, 80% to account for breaks</t>
  </si>
  <si>
    <t>Weighted average of 3 analysts and 1 embryologist per day, and the head of laboratory</t>
  </si>
  <si>
    <t>Clinical laboratory analyst (1 morning shift)</t>
  </si>
  <si>
    <t>Clinical laboratory analyst  (1 assigned per day)</t>
  </si>
  <si>
    <t>TDABC incorporation</t>
  </si>
  <si>
    <t>Number of Gynecologists, Doctors, Nurses, Embryologists, Analysts,working on average on one day</t>
  </si>
  <si>
    <t>Ultrasound, Philips ClearVue850 (3x)</t>
  </si>
  <si>
    <t>Building rent</t>
  </si>
  <si>
    <t>Other medications not directly attributable</t>
  </si>
  <si>
    <t>redacted, in CCR0</t>
  </si>
  <si>
    <t>Overhead staff (quality assurance office, office manager)</t>
  </si>
  <si>
    <t>Weekly multidisciplinary team meeting (all clinical staff)</t>
  </si>
  <si>
    <t>Equipment bundle lab Cryopreservation</t>
  </si>
  <si>
    <t>Equipment bundle lab general (incl andrology lab)</t>
  </si>
  <si>
    <t>Yearly disposables not allocated directly (andrology and general lab)</t>
  </si>
  <si>
    <t>Yearly disposables not allocated directly (IVF &amp; ICSI)</t>
  </si>
  <si>
    <t>Yearly disposables not allocated directly (ICSI)</t>
  </si>
  <si>
    <t>Yearly disposables not allocated directly (Cryo)</t>
  </si>
  <si>
    <t>CCR12 OR Laparoscopy</t>
  </si>
  <si>
    <t>CCR1 Gynecologist and assisstant</t>
  </si>
  <si>
    <t>CCR4 Clinic equipment, disposables, general medication not allocated directly</t>
  </si>
  <si>
    <t>CCR6 Staff lab (Embryologist &amp; Clinical laboratory analysts)</t>
  </si>
  <si>
    <t>CCR7 General lab incl. Andrology</t>
  </si>
  <si>
    <t xml:space="preserve">CCR8 Lab IVF &amp; ICSI shared </t>
  </si>
  <si>
    <t xml:space="preserve">CCR9 Lab ICSI-only </t>
  </si>
  <si>
    <t>CCR10 Lab Cryopreservation</t>
  </si>
  <si>
    <t>CCR5 Urology</t>
  </si>
  <si>
    <t>Clinical laboratory analyst  (1 afternoon shift)</t>
  </si>
  <si>
    <t>Radiologist's time</t>
  </si>
  <si>
    <t>Urologists' time</t>
  </si>
  <si>
    <t>Blood test (m) sometimes requested (Testosterone, LH, FSH)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</si>
</sst>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6" formatCode="&quot;€&quot;\ #,##0;[Red]&quot;€&quot;\ \-#,##0"/>
    <numFmt numFmtId="164" formatCode="0.0"/>
    <numFmt numFmtId="165" formatCode="&quot;$&quot;#,##0.00"/>
    <numFmt numFmtId="166" formatCode="_([$€-2]\ * #,##0.00_);_([$€-2]\ * \(#,##0.00\);_([$€-2]\ * &quot;-&quot;??_);_(@_)"/>
    <numFmt numFmtId="167" formatCode="_ [$€-413]\ * #,##0.00_ ;_ [$€-413]\ * \-#,##0.00_ ;_ [$€-413]\ * &quot;-&quot;??_ ;_ @_ "/>
    <numFmt numFmtId="168" formatCode="_ [$€-2]\ * #,##0.00_ ;_ [$€-2]\ * \-#,##0.00_ ;_ [$€-2]\ * &quot;-&quot;??_ ;_ @_ "/>
    <numFmt numFmtId="169" formatCode="&quot;€&quot;\ #,##0.00"/>
    <numFmt numFmtId="170" formatCode="_([$€-2]\ * #,##0.000_);_([$€-2]\ * \(#,##0.000\);_([$€-2]\ * &quot;-&quot;??_);_(@_)"/>
    <numFmt numFmtId="171" formatCode="&quot;€&quot;\ #,##0"/>
    <numFmt numFmtId="172" formatCode="&quot;€&quot;\ #,##0.0000"/>
    <numFmt numFmtId="173" formatCode="0.000"/>
  </numFmts>
  <fonts count="85">
    <font>
      <sz val="11"/>
      <color theme="1"/>
      <name val="Century Gothic"/>
      <family val="2"/>
      <scheme val="minor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"/>
      <family val="2"/>
    </font>
    <font>
      <sz val="8"/>
      <name val="Century Gothic"/>
      <family val="2"/>
      <scheme val="minor"/>
    </font>
    <font>
      <sz val="1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2" tint="-0.249977111117893"/>
      <name val="Times New Roman"/>
      <family val="1"/>
    </font>
    <font>
      <sz val="11"/>
      <color rgb="FF00610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8"/>
      <name val="Arial"/>
      <family val="2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name val="Century Gothic"/>
      <family val="2"/>
      <scheme val="minor"/>
    </font>
    <font>
      <b/>
      <sz val="14"/>
      <name val="Century Gothic"/>
      <family val="2"/>
      <scheme val="minor"/>
    </font>
    <font>
      <i/>
      <sz val="14"/>
      <name val="Century Gothic"/>
      <family val="2"/>
      <scheme val="minor"/>
    </font>
    <font>
      <sz val="14"/>
      <color rgb="FF7030A0"/>
      <name val="Century Gothic"/>
      <family val="2"/>
      <scheme val="minor"/>
    </font>
    <font>
      <i/>
      <sz val="12"/>
      <name val="Century Gothic"/>
      <family val="2"/>
      <scheme val="minor"/>
    </font>
    <font>
      <b/>
      <i/>
      <sz val="12"/>
      <name val="Century Gothic"/>
      <family val="2"/>
      <scheme val="minor"/>
    </font>
    <font>
      <b/>
      <sz val="14"/>
      <color rgb="FF7030A0"/>
      <name val="Century Gothic"/>
      <family val="2"/>
      <scheme val="minor"/>
    </font>
    <font>
      <i/>
      <sz val="11"/>
      <color theme="1"/>
      <name val="Century Gothic"/>
      <family val="2"/>
      <scheme val="minor"/>
    </font>
    <font>
      <sz val="11"/>
      <color theme="0" tint="-0.34998626667073579"/>
      <name val="Times New Roman"/>
      <family val="1"/>
    </font>
    <font>
      <sz val="16"/>
      <color theme="1"/>
      <name val="Century Gothic"/>
      <family val="2"/>
      <scheme val="minor"/>
    </font>
    <font>
      <sz val="18"/>
      <color theme="1"/>
      <name val="Century Gothic"/>
      <family val="2"/>
      <scheme val="minor"/>
    </font>
    <font>
      <sz val="22"/>
      <color theme="1"/>
      <name val="Century Gothic"/>
      <family val="2"/>
      <scheme val="minor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  <font>
      <i/>
      <sz val="16"/>
      <color rgb="FF000000"/>
      <name val="Times New Roman"/>
      <family val="1"/>
    </font>
    <font>
      <sz val="14"/>
      <color theme="1"/>
      <name val="Arial"/>
      <family val="2"/>
    </font>
    <font>
      <i/>
      <sz val="14"/>
      <color theme="1"/>
      <name val="Times New Roman"/>
      <family val="1"/>
    </font>
    <font>
      <i/>
      <sz val="14"/>
      <color theme="1"/>
      <name val="Calibri"/>
      <family val="2"/>
    </font>
    <font>
      <sz val="14"/>
      <color theme="1"/>
      <name val="Century Gothic"/>
      <family val="2"/>
      <scheme val="minor"/>
    </font>
    <font>
      <b/>
      <sz val="14"/>
      <color theme="1"/>
      <name val="Century Gothic"/>
      <family val="2"/>
      <scheme val="minor"/>
    </font>
    <font>
      <sz val="14"/>
      <color theme="0"/>
      <name val="Century Gothic"/>
      <family val="2"/>
      <scheme val="minor"/>
    </font>
    <font>
      <sz val="11"/>
      <color theme="1"/>
      <name val="Arial"/>
      <family val="2"/>
    </font>
    <font>
      <sz val="16"/>
      <color theme="1"/>
      <name val="Times New Roman"/>
      <family val="1"/>
    </font>
    <font>
      <sz val="16"/>
      <color theme="1"/>
      <name val="Arial"/>
      <family val="2"/>
    </font>
    <font>
      <sz val="16"/>
      <color theme="2" tint="-0.249977111117893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i/>
      <sz val="16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Times New Roman"/>
      <family val="1"/>
    </font>
    <font>
      <b/>
      <sz val="18"/>
      <color theme="1"/>
      <name val="Arial"/>
      <family val="2"/>
    </font>
    <font>
      <b/>
      <sz val="20"/>
      <color theme="1"/>
      <name val="Times New Roman"/>
      <family val="1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i/>
      <sz val="18"/>
      <color theme="1"/>
      <name val="Arial"/>
      <family val="2"/>
    </font>
    <font>
      <b/>
      <i/>
      <sz val="16"/>
      <color theme="1"/>
      <name val="Arial"/>
      <family val="2"/>
    </font>
    <font>
      <sz val="16"/>
      <color theme="0" tint="-0.34998626667073579"/>
      <name val="Arial"/>
      <family val="2"/>
    </font>
    <font>
      <sz val="11"/>
      <color theme="0" tint="-0.34998626667073579"/>
      <name val="Century Gothic"/>
      <family val="2"/>
      <scheme val="minor"/>
    </font>
    <font>
      <b/>
      <sz val="11"/>
      <color theme="0" tint="-0.34998626667073579"/>
      <name val="Times New Roman"/>
      <family val="1"/>
    </font>
    <font>
      <b/>
      <sz val="11"/>
      <color theme="2"/>
      <name val="Times New Roman"/>
      <family val="1"/>
    </font>
    <font>
      <sz val="16"/>
      <color theme="2"/>
      <name val="Arial"/>
      <family val="2"/>
    </font>
    <font>
      <sz val="14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sz val="14"/>
      <color theme="2" tint="-0.499984740745262"/>
      <name val="Arial"/>
      <family val="2"/>
    </font>
    <font>
      <b/>
      <i/>
      <sz val="14"/>
      <color rgb="FF7030A0"/>
      <name val="Arial"/>
      <family val="2"/>
    </font>
    <font>
      <b/>
      <i/>
      <sz val="14"/>
      <color rgb="FF002060"/>
      <name val="Arial"/>
      <family val="2"/>
    </font>
    <font>
      <sz val="11"/>
      <color rgb="FF002060"/>
      <name val="Arial"/>
      <family val="2"/>
    </font>
    <font>
      <sz val="14"/>
      <color rgb="FF002060"/>
      <name val="Arial"/>
      <family val="2"/>
    </font>
    <font>
      <sz val="11"/>
      <color rgb="FF002060"/>
      <name val="Century Gothic"/>
      <family val="2"/>
      <scheme val="minor"/>
    </font>
    <font>
      <sz val="16"/>
      <color rgb="FF002060"/>
      <name val="Arial"/>
      <family val="2"/>
    </font>
    <font>
      <sz val="16"/>
      <color rgb="FF002060"/>
      <name val="Aptos Narrow"/>
      <family val="2"/>
    </font>
    <font>
      <b/>
      <sz val="11"/>
      <color rgb="FF002060"/>
      <name val="Aptos Narrow"/>
      <family val="2"/>
    </font>
    <font>
      <sz val="20"/>
      <color rgb="FF002060"/>
      <name val="Aptos Narrow"/>
      <family val="2"/>
    </font>
    <font>
      <b/>
      <sz val="20"/>
      <color rgb="FF002060"/>
      <name val="Aptos Narrow"/>
      <family val="2"/>
    </font>
    <font>
      <b/>
      <i/>
      <sz val="18"/>
      <color rgb="FF002060"/>
      <name val="Arial"/>
      <family val="2"/>
    </font>
    <font>
      <sz val="14"/>
      <color rgb="FF002060"/>
      <name val="Times New Roman"/>
      <family val="1"/>
    </font>
    <font>
      <sz val="11"/>
      <color rgb="FF002060"/>
      <name val="Times New Roman"/>
      <family val="1"/>
    </font>
    <font>
      <b/>
      <sz val="22"/>
      <color theme="0"/>
      <name val="Arial"/>
      <family val="2"/>
    </font>
    <font>
      <b/>
      <sz val="22"/>
      <color theme="0"/>
      <name val="Arialk"/>
    </font>
    <font>
      <sz val="16"/>
      <color theme="0" tint="-0.249977111117893"/>
      <name val="Arial"/>
      <family val="2"/>
    </font>
    <font>
      <i/>
      <sz val="16"/>
      <color theme="0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sz val="11"/>
      <name val="Arial"/>
      <family val="2"/>
    </font>
    <font>
      <sz val="11"/>
      <name val="Century Gothic"/>
      <family val="2"/>
      <scheme val="minor"/>
    </font>
    <font>
      <sz val="12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6EF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theme="0" tint="-0.14999847407452621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1" fillId="6" borderId="0" applyNumberFormat="0" applyBorder="0" applyAlignment="0" applyProtection="0"/>
  </cellStyleXfs>
  <cellXfs count="320">
    <xf numFmtId="0" fontId="0" fillId="0" borderId="0" xfId="0"/>
    <xf numFmtId="0" fontId="3" fillId="0" borderId="0" xfId="0" applyFont="1"/>
    <xf numFmtId="0" fontId="3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left" vertical="center" wrapText="1" indent="1"/>
    </xf>
    <xf numFmtId="166" fontId="1" fillId="2" borderId="0" xfId="0" applyNumberFormat="1" applyFont="1" applyFill="1" applyAlignment="1">
      <alignment horizontal="left" vertical="center" wrapText="1" indent="1"/>
    </xf>
    <xf numFmtId="0" fontId="3" fillId="2" borderId="1" xfId="0" applyFont="1" applyFill="1" applyBorder="1"/>
    <xf numFmtId="0" fontId="4" fillId="0" borderId="0" xfId="0" applyFont="1"/>
    <xf numFmtId="0" fontId="3" fillId="0" borderId="1" xfId="0" applyFont="1" applyBorder="1"/>
    <xf numFmtId="0" fontId="4" fillId="4" borderId="0" xfId="0" applyFont="1" applyFill="1"/>
    <xf numFmtId="0" fontId="1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/>
    <xf numFmtId="0" fontId="4" fillId="0" borderId="1" xfId="0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169" fontId="1" fillId="2" borderId="0" xfId="0" applyNumberFormat="1" applyFont="1" applyFill="1" applyAlignment="1">
      <alignment horizontal="right" vertical="center" wrapText="1" indent="1"/>
    </xf>
    <xf numFmtId="0" fontId="17" fillId="0" borderId="0" xfId="0" applyFont="1"/>
    <xf numFmtId="0" fontId="18" fillId="0" borderId="0" xfId="0" applyFont="1"/>
    <xf numFmtId="0" fontId="0" fillId="5" borderId="0" xfId="0" applyFill="1"/>
    <xf numFmtId="0" fontId="19" fillId="0" borderId="0" xfId="0" applyFont="1"/>
    <xf numFmtId="0" fontId="20" fillId="0" borderId="0" xfId="0" applyFont="1"/>
    <xf numFmtId="0" fontId="0" fillId="0" borderId="0" xfId="0" applyAlignment="1">
      <alignment horizontal="right"/>
    </xf>
    <xf numFmtId="0" fontId="0" fillId="5" borderId="0" xfId="0" applyFill="1" applyAlignment="1">
      <alignment horizontal="right"/>
    </xf>
    <xf numFmtId="0" fontId="21" fillId="0" borderId="0" xfId="0" applyFont="1"/>
    <xf numFmtId="0" fontId="19" fillId="0" borderId="0" xfId="0" applyFont="1" applyAlignment="1">
      <alignment horizontal="right"/>
    </xf>
    <xf numFmtId="0" fontId="22" fillId="0" borderId="0" xfId="0" applyFont="1"/>
    <xf numFmtId="0" fontId="0" fillId="5" borderId="6" xfId="0" applyFill="1" applyBorder="1" applyAlignment="1">
      <alignment horizontal="right"/>
    </xf>
    <xf numFmtId="0" fontId="23" fillId="0" borderId="0" xfId="0" applyFont="1"/>
    <xf numFmtId="0" fontId="24" fillId="0" borderId="0" xfId="0" applyFont="1" applyAlignment="1">
      <alignment horizontal="right"/>
    </xf>
    <xf numFmtId="0" fontId="22" fillId="0" borderId="5" xfId="0" applyFont="1" applyBorder="1"/>
    <xf numFmtId="6" fontId="29" fillId="3" borderId="0" xfId="0" applyNumberFormat="1" applyFont="1" applyFill="1" applyAlignment="1">
      <alignment horizontal="center" vertical="center" wrapText="1"/>
    </xf>
    <xf numFmtId="0" fontId="29" fillId="3" borderId="13" xfId="0" applyFont="1" applyFill="1" applyBorder="1" applyAlignment="1">
      <alignment horizontal="right" vertical="center" wrapText="1"/>
    </xf>
    <xf numFmtId="0" fontId="29" fillId="3" borderId="13" xfId="0" applyFont="1" applyFill="1" applyBorder="1" applyAlignment="1">
      <alignment horizontal="center" vertical="center" wrapText="1"/>
    </xf>
    <xf numFmtId="0" fontId="30" fillId="3" borderId="14" xfId="0" applyFont="1" applyFill="1" applyBorder="1" applyAlignment="1">
      <alignment horizontal="right" vertical="center" wrapText="1"/>
    </xf>
    <xf numFmtId="0" fontId="30" fillId="3" borderId="15" xfId="0" applyFont="1" applyFill="1" applyBorder="1" applyAlignment="1">
      <alignment horizontal="righ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left" vertical="center" wrapText="1"/>
    </xf>
    <xf numFmtId="2" fontId="30" fillId="3" borderId="0" xfId="0" applyNumberFormat="1" applyFont="1" applyFill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0" fontId="29" fillId="3" borderId="0" xfId="0" applyFont="1" applyFill="1" applyAlignment="1">
      <alignment horizontal="left" vertical="center" wrapText="1"/>
    </xf>
    <xf numFmtId="0" fontId="26" fillId="0" borderId="0" xfId="0" applyFont="1"/>
    <xf numFmtId="0" fontId="30" fillId="3" borderId="14" xfId="0" applyFont="1" applyFill="1" applyBorder="1" applyAlignment="1">
      <alignment horizontal="center" vertical="center" wrapText="1"/>
    </xf>
    <xf numFmtId="2" fontId="30" fillId="3" borderId="17" xfId="0" applyNumberFormat="1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center" vertical="center" wrapText="1"/>
    </xf>
    <xf numFmtId="0" fontId="28" fillId="0" borderId="0" xfId="0" applyFont="1"/>
    <xf numFmtId="0" fontId="14" fillId="2" borderId="13" xfId="0" applyFont="1" applyFill="1" applyBorder="1" applyAlignment="1">
      <alignment horizontal="right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vertical="center" wrapText="1"/>
    </xf>
    <xf numFmtId="0" fontId="33" fillId="2" borderId="14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14" fillId="2" borderId="12" xfId="0" applyFont="1" applyFill="1" applyBorder="1" applyAlignment="1">
      <alignment vertical="center" wrapText="1"/>
    </xf>
    <xf numFmtId="0" fontId="33" fillId="2" borderId="12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33" fillId="2" borderId="12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2" fontId="16" fillId="2" borderId="0" xfId="0" applyNumberFormat="1" applyFont="1" applyFill="1" applyAlignment="1">
      <alignment horizontal="center" vertical="center" wrapText="1"/>
    </xf>
    <xf numFmtId="2" fontId="16" fillId="2" borderId="1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171" fontId="14" fillId="2" borderId="0" xfId="0" applyNumberFormat="1" applyFont="1" applyFill="1" applyAlignment="1">
      <alignment horizontal="center" vertical="center" wrapText="1"/>
    </xf>
    <xf numFmtId="0" fontId="33" fillId="2" borderId="0" xfId="0" applyFont="1" applyFill="1" applyAlignment="1">
      <alignment horizontal="left" vertical="center" wrapText="1"/>
    </xf>
    <xf numFmtId="0" fontId="35" fillId="2" borderId="0" xfId="0" applyFont="1" applyFill="1"/>
    <xf numFmtId="2" fontId="36" fillId="2" borderId="0" xfId="0" applyNumberFormat="1" applyFont="1" applyFill="1" applyAlignment="1">
      <alignment horizontal="center"/>
    </xf>
    <xf numFmtId="2" fontId="35" fillId="2" borderId="0" xfId="0" applyNumberFormat="1" applyFont="1" applyFill="1" applyAlignment="1">
      <alignment horizontal="center"/>
    </xf>
    <xf numFmtId="2" fontId="35" fillId="2" borderId="0" xfId="0" applyNumberFormat="1" applyFont="1" applyFill="1"/>
    <xf numFmtId="2" fontId="30" fillId="3" borderId="0" xfId="0" applyNumberFormat="1" applyFont="1" applyFill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168" fontId="29" fillId="3" borderId="0" xfId="0" applyNumberFormat="1" applyFont="1" applyFill="1" applyAlignment="1">
      <alignment horizontal="center" vertical="center" wrapText="1"/>
    </xf>
    <xf numFmtId="0" fontId="17" fillId="2" borderId="0" xfId="0" applyFont="1" applyFill="1"/>
    <xf numFmtId="169" fontId="17" fillId="7" borderId="0" xfId="2" applyNumberFormat="1" applyFont="1" applyFill="1" applyAlignment="1"/>
    <xf numFmtId="0" fontId="28" fillId="0" borderId="12" xfId="0" applyFont="1" applyBorder="1" applyAlignment="1">
      <alignment horizontal="center"/>
    </xf>
    <xf numFmtId="171" fontId="0" fillId="0" borderId="0" xfId="0" applyNumberFormat="1"/>
    <xf numFmtId="0" fontId="18" fillId="2" borderId="0" xfId="0" applyFont="1" applyFill="1"/>
    <xf numFmtId="0" fontId="38" fillId="0" borderId="0" xfId="0" applyFont="1"/>
    <xf numFmtId="0" fontId="40" fillId="2" borderId="3" xfId="0" applyFont="1" applyFill="1" applyBorder="1" applyAlignment="1">
      <alignment horizontal="right"/>
    </xf>
    <xf numFmtId="0" fontId="40" fillId="2" borderId="3" xfId="0" applyFont="1" applyFill="1" applyBorder="1"/>
    <xf numFmtId="0" fontId="40" fillId="2" borderId="0" xfId="0" applyFont="1" applyFill="1" applyAlignment="1">
      <alignment horizontal="right"/>
    </xf>
    <xf numFmtId="0" fontId="40" fillId="2" borderId="0" xfId="0" applyFont="1" applyFill="1"/>
    <xf numFmtId="0" fontId="40" fillId="2" borderId="1" xfId="0" applyFont="1" applyFill="1" applyBorder="1" applyAlignment="1">
      <alignment horizontal="right"/>
    </xf>
    <xf numFmtId="0" fontId="40" fillId="2" borderId="1" xfId="0" applyFont="1" applyFill="1" applyBorder="1"/>
    <xf numFmtId="0" fontId="41" fillId="2" borderId="3" xfId="0" applyFont="1" applyFill="1" applyBorder="1"/>
    <xf numFmtId="0" fontId="41" fillId="2" borderId="0" xfId="0" applyFont="1" applyFill="1"/>
    <xf numFmtId="1" fontId="4" fillId="2" borderId="3" xfId="0" applyNumberFormat="1" applyFont="1" applyFill="1" applyBorder="1"/>
    <xf numFmtId="1" fontId="4" fillId="2" borderId="0" xfId="0" applyNumberFormat="1" applyFont="1" applyFill="1"/>
    <xf numFmtId="0" fontId="39" fillId="4" borderId="0" xfId="0" applyFont="1" applyFill="1"/>
    <xf numFmtId="0" fontId="39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0" fontId="10" fillId="4" borderId="0" xfId="0" applyFont="1" applyFill="1" applyAlignment="1">
      <alignment textRotation="45"/>
    </xf>
    <xf numFmtId="0" fontId="3" fillId="4" borderId="0" xfId="0" applyFont="1" applyFill="1" applyAlignment="1">
      <alignment textRotation="45"/>
    </xf>
    <xf numFmtId="0" fontId="2" fillId="4" borderId="0" xfId="0" applyFont="1" applyFill="1" applyAlignment="1">
      <alignment horizontal="right"/>
    </xf>
    <xf numFmtId="0" fontId="4" fillId="4" borderId="0" xfId="0" applyFont="1" applyFill="1" applyAlignment="1">
      <alignment textRotation="45"/>
    </xf>
    <xf numFmtId="166" fontId="3" fillId="4" borderId="0" xfId="0" applyNumberFormat="1" applyFont="1" applyFill="1"/>
    <xf numFmtId="0" fontId="3" fillId="4" borderId="0" xfId="0" applyFont="1" applyFill="1"/>
    <xf numFmtId="0" fontId="0" fillId="4" borderId="0" xfId="0" applyFill="1"/>
    <xf numFmtId="166" fontId="4" fillId="4" borderId="0" xfId="0" applyNumberFormat="1" applyFont="1" applyFill="1"/>
    <xf numFmtId="0" fontId="40" fillId="4" borderId="0" xfId="0" applyFont="1" applyFill="1"/>
    <xf numFmtId="0" fontId="40" fillId="4" borderId="0" xfId="0" applyFont="1" applyFill="1" applyAlignment="1">
      <alignment horizontal="right"/>
    </xf>
    <xf numFmtId="168" fontId="3" fillId="4" borderId="0" xfId="0" applyNumberFormat="1" applyFont="1" applyFill="1"/>
    <xf numFmtId="164" fontId="3" fillId="4" borderId="0" xfId="0" applyNumberFormat="1" applyFont="1" applyFill="1"/>
    <xf numFmtId="0" fontId="4" fillId="4" borderId="0" xfId="0" applyFont="1" applyFill="1" applyAlignment="1">
      <alignment horizontal="right"/>
    </xf>
    <xf numFmtId="0" fontId="40" fillId="14" borderId="0" xfId="0" applyFont="1" applyFill="1"/>
    <xf numFmtId="0" fontId="4" fillId="14" borderId="0" xfId="0" applyFont="1" applyFill="1" applyAlignment="1">
      <alignment horizontal="center"/>
    </xf>
    <xf numFmtId="0" fontId="32" fillId="14" borderId="0" xfId="0" applyFont="1" applyFill="1" applyAlignment="1">
      <alignment textRotation="45"/>
    </xf>
    <xf numFmtId="0" fontId="43" fillId="14" borderId="0" xfId="0" applyFont="1" applyFill="1" applyAlignment="1">
      <alignment textRotation="45"/>
    </xf>
    <xf numFmtId="0" fontId="14" fillId="14" borderId="0" xfId="0" applyFont="1" applyFill="1" applyAlignment="1">
      <alignment textRotation="45"/>
    </xf>
    <xf numFmtId="0" fontId="16" fillId="14" borderId="0" xfId="0" applyFont="1" applyFill="1" applyAlignment="1">
      <alignment textRotation="45"/>
    </xf>
    <xf numFmtId="0" fontId="16" fillId="5" borderId="0" xfId="0" applyFont="1" applyFill="1" applyAlignment="1">
      <alignment textRotation="45"/>
    </xf>
    <xf numFmtId="0" fontId="14" fillId="14" borderId="0" xfId="0" applyFont="1" applyFill="1" applyAlignment="1">
      <alignment horizontal="center" wrapText="1"/>
    </xf>
    <xf numFmtId="0" fontId="4" fillId="14" borderId="0" xfId="0" applyFont="1" applyFill="1"/>
    <xf numFmtId="0" fontId="44" fillId="2" borderId="0" xfId="0" applyFont="1" applyFill="1"/>
    <xf numFmtId="0" fontId="44" fillId="2" borderId="1" xfId="0" applyFont="1" applyFill="1" applyBorder="1" applyAlignment="1">
      <alignment horizontal="right"/>
    </xf>
    <xf numFmtId="0" fontId="44" fillId="2" borderId="1" xfId="0" applyFont="1" applyFill="1" applyBorder="1"/>
    <xf numFmtId="0" fontId="3" fillId="14" borderId="0" xfId="0" applyFont="1" applyFill="1"/>
    <xf numFmtId="0" fontId="0" fillId="14" borderId="0" xfId="0" applyFill="1"/>
    <xf numFmtId="0" fontId="2" fillId="14" borderId="0" xfId="0" applyFont="1" applyFill="1"/>
    <xf numFmtId="0" fontId="3" fillId="14" borderId="0" xfId="0" applyFont="1" applyFill="1" applyAlignment="1">
      <alignment horizontal="left"/>
    </xf>
    <xf numFmtId="166" fontId="4" fillId="14" borderId="0" xfId="0" applyNumberFormat="1" applyFont="1" applyFill="1"/>
    <xf numFmtId="0" fontId="3" fillId="2" borderId="7" xfId="0" applyFont="1" applyFill="1" applyBorder="1"/>
    <xf numFmtId="0" fontId="0" fillId="2" borderId="4" xfId="0" applyFill="1" applyBorder="1"/>
    <xf numFmtId="0" fontId="3" fillId="2" borderId="1" xfId="0" applyFont="1" applyFill="1" applyBorder="1" applyAlignment="1">
      <alignment horizontal="left"/>
    </xf>
    <xf numFmtId="0" fontId="3" fillId="2" borderId="9" xfId="0" applyFont="1" applyFill="1" applyBorder="1"/>
    <xf numFmtId="0" fontId="29" fillId="3" borderId="14" xfId="0" applyFont="1" applyFill="1" applyBorder="1" applyAlignment="1">
      <alignment horizontal="right" vertical="center" wrapText="1"/>
    </xf>
    <xf numFmtId="0" fontId="29" fillId="3" borderId="1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right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42" fillId="4" borderId="0" xfId="0" applyFont="1" applyFill="1"/>
    <xf numFmtId="0" fontId="2" fillId="14" borderId="0" xfId="0" applyFont="1" applyFill="1" applyAlignment="1">
      <alignment horizontal="right"/>
    </xf>
    <xf numFmtId="0" fontId="48" fillId="14" borderId="0" xfId="0" applyFont="1" applyFill="1" applyAlignment="1">
      <alignment textRotation="45"/>
    </xf>
    <xf numFmtId="0" fontId="48" fillId="14" borderId="0" xfId="0" applyFont="1" applyFill="1" applyAlignment="1">
      <alignment horizontal="right"/>
    </xf>
    <xf numFmtId="0" fontId="51" fillId="14" borderId="0" xfId="0" applyFont="1" applyFill="1"/>
    <xf numFmtId="0" fontId="40" fillId="2" borderId="3" xfId="0" applyFont="1" applyFill="1" applyBorder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19" xfId="0" applyFont="1" applyFill="1" applyBorder="1" applyAlignment="1">
      <alignment horizontal="center"/>
    </xf>
    <xf numFmtId="0" fontId="40" fillId="2" borderId="7" xfId="0" applyFont="1" applyFill="1" applyBorder="1" applyAlignment="1">
      <alignment horizontal="center"/>
    </xf>
    <xf numFmtId="0" fontId="52" fillId="2" borderId="9" xfId="0" applyFont="1" applyFill="1" applyBorder="1"/>
    <xf numFmtId="2" fontId="42" fillId="8" borderId="19" xfId="0" applyNumberFormat="1" applyFont="1" applyFill="1" applyBorder="1"/>
    <xf numFmtId="2" fontId="42" fillId="8" borderId="7" xfId="0" applyNumberFormat="1" applyFont="1" applyFill="1" applyBorder="1"/>
    <xf numFmtId="173" fontId="49" fillId="15" borderId="10" xfId="0" applyNumberFormat="1" applyFont="1" applyFill="1" applyBorder="1" applyAlignment="1">
      <alignment horizontal="center" vertical="center"/>
    </xf>
    <xf numFmtId="173" fontId="49" fillId="15" borderId="2" xfId="0" applyNumberFormat="1" applyFont="1" applyFill="1" applyBorder="1" applyAlignment="1">
      <alignment horizontal="center" vertical="center"/>
    </xf>
    <xf numFmtId="173" fontId="49" fillId="15" borderId="11" xfId="0" applyNumberFormat="1" applyFont="1" applyFill="1" applyBorder="1" applyAlignment="1">
      <alignment horizontal="center" vertical="center"/>
    </xf>
    <xf numFmtId="2" fontId="52" fillId="2" borderId="9" xfId="0" applyNumberFormat="1" applyFont="1" applyFill="1" applyBorder="1"/>
    <xf numFmtId="0" fontId="53" fillId="2" borderId="3" xfId="0" applyFont="1" applyFill="1" applyBorder="1"/>
    <xf numFmtId="0" fontId="53" fillId="2" borderId="0" xfId="0" applyFont="1" applyFill="1"/>
    <xf numFmtId="2" fontId="47" fillId="9" borderId="19" xfId="0" applyNumberFormat="1" applyFont="1" applyFill="1" applyBorder="1"/>
    <xf numFmtId="2" fontId="47" fillId="9" borderId="7" xfId="0" applyNumberFormat="1" applyFont="1" applyFill="1" applyBorder="1"/>
    <xf numFmtId="2" fontId="47" fillId="8" borderId="7" xfId="0" applyNumberFormat="1" applyFont="1" applyFill="1" applyBorder="1"/>
    <xf numFmtId="2" fontId="47" fillId="12" borderId="7" xfId="0" applyNumberFormat="1" applyFont="1" applyFill="1" applyBorder="1"/>
    <xf numFmtId="2" fontId="47" fillId="12" borderId="20" xfId="0" applyNumberFormat="1" applyFont="1" applyFill="1" applyBorder="1"/>
    <xf numFmtId="0" fontId="8" fillId="14" borderId="0" xfId="0" applyFont="1" applyFill="1"/>
    <xf numFmtId="168" fontId="4" fillId="14" borderId="0" xfId="0" applyNumberFormat="1" applyFont="1" applyFill="1"/>
    <xf numFmtId="168" fontId="3" fillId="14" borderId="0" xfId="0" applyNumberFormat="1" applyFont="1" applyFill="1"/>
    <xf numFmtId="0" fontId="25" fillId="14" borderId="0" xfId="0" applyFont="1" applyFill="1"/>
    <xf numFmtId="168" fontId="55" fillId="14" borderId="0" xfId="0" applyNumberFormat="1" applyFont="1" applyFill="1"/>
    <xf numFmtId="0" fontId="54" fillId="14" borderId="0" xfId="0" applyFont="1" applyFill="1"/>
    <xf numFmtId="168" fontId="56" fillId="14" borderId="0" xfId="0" applyNumberFormat="1" applyFont="1" applyFill="1"/>
    <xf numFmtId="0" fontId="40" fillId="2" borderId="1" xfId="0" applyFont="1" applyFill="1" applyBorder="1" applyAlignment="1">
      <alignment horizontal="center"/>
    </xf>
    <xf numFmtId="0" fontId="40" fillId="2" borderId="9" xfId="0" applyFont="1" applyFill="1" applyBorder="1" applyAlignment="1">
      <alignment horizontal="center"/>
    </xf>
    <xf numFmtId="0" fontId="40" fillId="14" borderId="0" xfId="0" applyFont="1" applyFill="1" applyAlignment="1">
      <alignment horizontal="center" vertical="center" textRotation="90"/>
    </xf>
    <xf numFmtId="0" fontId="3" fillId="14" borderId="0" xfId="0" applyFont="1" applyFill="1" applyAlignment="1">
      <alignment horizontal="right"/>
    </xf>
    <xf numFmtId="0" fontId="10" fillId="14" borderId="0" xfId="0" applyFont="1" applyFill="1"/>
    <xf numFmtId="1" fontId="4" fillId="14" borderId="0" xfId="0" applyNumberFormat="1" applyFont="1" applyFill="1"/>
    <xf numFmtId="2" fontId="3" fillId="14" borderId="0" xfId="0" applyNumberFormat="1" applyFont="1" applyFill="1"/>
    <xf numFmtId="164" fontId="3" fillId="14" borderId="0" xfId="0" applyNumberFormat="1" applyFont="1" applyFill="1"/>
    <xf numFmtId="0" fontId="29" fillId="3" borderId="0" xfId="0" applyFont="1" applyFill="1" applyAlignment="1">
      <alignment horizontal="right" vertical="center" wrapText="1"/>
    </xf>
    <xf numFmtId="0" fontId="29" fillId="3" borderId="0" xfId="0" applyFont="1" applyFill="1" applyAlignment="1">
      <alignment horizontal="center" vertical="center" wrapText="1"/>
    </xf>
    <xf numFmtId="2" fontId="47" fillId="8" borderId="19" xfId="0" applyNumberFormat="1" applyFont="1" applyFill="1" applyBorder="1"/>
    <xf numFmtId="2" fontId="47" fillId="10" borderId="7" xfId="0" applyNumberFormat="1" applyFont="1" applyFill="1" applyBorder="1"/>
    <xf numFmtId="1" fontId="3" fillId="14" borderId="0" xfId="0" applyNumberFormat="1" applyFont="1" applyFill="1"/>
    <xf numFmtId="2" fontId="47" fillId="8" borderId="20" xfId="0" applyNumberFormat="1" applyFont="1" applyFill="1" applyBorder="1"/>
    <xf numFmtId="2" fontId="47" fillId="2" borderId="9" xfId="0" applyNumberFormat="1" applyFont="1" applyFill="1" applyBorder="1"/>
    <xf numFmtId="0" fontId="53" fillId="14" borderId="0" xfId="0" applyFont="1" applyFill="1"/>
    <xf numFmtId="2" fontId="4" fillId="14" borderId="0" xfId="0" applyNumberFormat="1" applyFont="1" applyFill="1"/>
    <xf numFmtId="2" fontId="0" fillId="14" borderId="0" xfId="0" applyNumberFormat="1" applyFill="1"/>
    <xf numFmtId="0" fontId="57" fillId="2" borderId="0" xfId="0" applyFont="1" applyFill="1"/>
    <xf numFmtId="0" fontId="57" fillId="2" borderId="3" xfId="0" applyFont="1" applyFill="1" applyBorder="1"/>
    <xf numFmtId="0" fontId="57" fillId="2" borderId="19" xfId="0" applyFont="1" applyFill="1" applyBorder="1"/>
    <xf numFmtId="0" fontId="57" fillId="2" borderId="7" xfId="0" applyFont="1" applyFill="1" applyBorder="1"/>
    <xf numFmtId="0" fontId="40" fillId="2" borderId="7" xfId="0" applyFont="1" applyFill="1" applyBorder="1"/>
    <xf numFmtId="0" fontId="0" fillId="2" borderId="7" xfId="0" applyFill="1" applyBorder="1"/>
    <xf numFmtId="2" fontId="47" fillId="13" borderId="7" xfId="0" applyNumberFormat="1" applyFont="1" applyFill="1" applyBorder="1"/>
    <xf numFmtId="2" fontId="47" fillId="11" borderId="7" xfId="0" applyNumberFormat="1" applyFont="1" applyFill="1" applyBorder="1"/>
    <xf numFmtId="0" fontId="57" fillId="2" borderId="18" xfId="0" applyFont="1" applyFill="1" applyBorder="1"/>
    <xf numFmtId="0" fontId="57" fillId="2" borderId="4" xfId="0" applyFont="1" applyFill="1" applyBorder="1"/>
    <xf numFmtId="0" fontId="40" fillId="2" borderId="4" xfId="0" applyFont="1" applyFill="1" applyBorder="1"/>
    <xf numFmtId="0" fontId="40" fillId="2" borderId="8" xfId="0" applyFont="1" applyFill="1" applyBorder="1"/>
    <xf numFmtId="0" fontId="40" fillId="2" borderId="9" xfId="0" applyFont="1" applyFill="1" applyBorder="1"/>
    <xf numFmtId="0" fontId="52" fillId="2" borderId="4" xfId="0" applyFont="1" applyFill="1" applyBorder="1"/>
    <xf numFmtId="0" fontId="0" fillId="2" borderId="1" xfId="0" applyFill="1" applyBorder="1"/>
    <xf numFmtId="0" fontId="0" fillId="2" borderId="9" xfId="0" applyFill="1" applyBorder="1"/>
    <xf numFmtId="0" fontId="45" fillId="13" borderId="16" xfId="0" applyFont="1" applyFill="1" applyBorder="1" applyAlignment="1">
      <alignment horizontal="center" vertical="center"/>
    </xf>
    <xf numFmtId="0" fontId="45" fillId="13" borderId="16" xfId="0" applyFont="1" applyFill="1" applyBorder="1" applyAlignment="1">
      <alignment horizontal="center"/>
    </xf>
    <xf numFmtId="2" fontId="51" fillId="2" borderId="9" xfId="0" applyNumberFormat="1" applyFont="1" applyFill="1" applyBorder="1"/>
    <xf numFmtId="0" fontId="42" fillId="13" borderId="7" xfId="0" applyFont="1" applyFill="1" applyBorder="1"/>
    <xf numFmtId="0" fontId="40" fillId="2" borderId="18" xfId="0" applyFont="1" applyFill="1" applyBorder="1"/>
    <xf numFmtId="0" fontId="40" fillId="2" borderId="19" xfId="0" applyFont="1" applyFill="1" applyBorder="1"/>
    <xf numFmtId="0" fontId="3" fillId="14" borderId="0" xfId="0" applyFont="1" applyFill="1" applyAlignment="1">
      <alignment horizontal="left" indent="11"/>
    </xf>
    <xf numFmtId="0" fontId="29" fillId="3" borderId="12" xfId="0" applyFont="1" applyFill="1" applyBorder="1" applyAlignment="1">
      <alignment horizontal="right" vertical="center" wrapText="1"/>
    </xf>
    <xf numFmtId="0" fontId="29" fillId="3" borderId="12" xfId="0" applyFont="1" applyFill="1" applyBorder="1" applyAlignment="1">
      <alignment horizontal="center" vertical="center" wrapText="1"/>
    </xf>
    <xf numFmtId="168" fontId="0" fillId="14" borderId="0" xfId="0" applyNumberFormat="1" applyFill="1"/>
    <xf numFmtId="0" fontId="27" fillId="14" borderId="0" xfId="0" applyFont="1" applyFill="1" applyAlignment="1">
      <alignment horizontal="center" vertical="center" textRotation="90"/>
    </xf>
    <xf numFmtId="0" fontId="2" fillId="2" borderId="8" xfId="0" applyFont="1" applyFill="1" applyBorder="1"/>
    <xf numFmtId="0" fontId="38" fillId="2" borderId="0" xfId="0" applyFont="1" applyFill="1"/>
    <xf numFmtId="0" fontId="58" fillId="2" borderId="0" xfId="0" applyFont="1" applyFill="1"/>
    <xf numFmtId="0" fontId="60" fillId="2" borderId="0" xfId="0" applyFont="1" applyFill="1"/>
    <xf numFmtId="0" fontId="61" fillId="2" borderId="0" xfId="0" applyFont="1" applyFill="1"/>
    <xf numFmtId="0" fontId="62" fillId="2" borderId="0" xfId="0" applyFont="1" applyFill="1"/>
    <xf numFmtId="0" fontId="63" fillId="2" borderId="0" xfId="0" applyFont="1" applyFill="1" applyAlignment="1">
      <alignment horizontal="right"/>
    </xf>
    <xf numFmtId="169" fontId="13" fillId="2" borderId="0" xfId="0" applyNumberFormat="1" applyFont="1" applyFill="1"/>
    <xf numFmtId="169" fontId="13" fillId="2" borderId="17" xfId="0" applyNumberFormat="1" applyFont="1" applyFill="1" applyBorder="1"/>
    <xf numFmtId="0" fontId="58" fillId="2" borderId="17" xfId="0" applyFont="1" applyFill="1" applyBorder="1"/>
    <xf numFmtId="0" fontId="62" fillId="2" borderId="17" xfId="0" applyFont="1" applyFill="1" applyBorder="1"/>
    <xf numFmtId="0" fontId="59" fillId="16" borderId="0" xfId="0" applyFont="1" applyFill="1"/>
    <xf numFmtId="0" fontId="59" fillId="16" borderId="0" xfId="0" applyFont="1" applyFill="1" applyAlignment="1">
      <alignment horizontal="center"/>
    </xf>
    <xf numFmtId="0" fontId="64" fillId="2" borderId="0" xfId="0" applyFont="1" applyFill="1" applyAlignment="1">
      <alignment horizontal="right"/>
    </xf>
    <xf numFmtId="0" fontId="61" fillId="2" borderId="17" xfId="0" applyFont="1" applyFill="1" applyBorder="1"/>
    <xf numFmtId="0" fontId="38" fillId="2" borderId="17" xfId="0" applyFont="1" applyFill="1" applyBorder="1"/>
    <xf numFmtId="169" fontId="17" fillId="2" borderId="0" xfId="0" applyNumberFormat="1" applyFont="1" applyFill="1"/>
    <xf numFmtId="0" fontId="17" fillId="2" borderId="0" xfId="0" applyFont="1" applyFill="1" applyAlignment="1">
      <alignment horizontal="right"/>
    </xf>
    <xf numFmtId="0" fontId="37" fillId="2" borderId="0" xfId="0" applyFont="1" applyFill="1"/>
    <xf numFmtId="169" fontId="37" fillId="2" borderId="0" xfId="0" applyNumberFormat="1" applyFont="1" applyFill="1"/>
    <xf numFmtId="172" fontId="17" fillId="2" borderId="0" xfId="0" applyNumberFormat="1" applyFont="1" applyFill="1"/>
    <xf numFmtId="0" fontId="65" fillId="2" borderId="0" xfId="0" applyFont="1" applyFill="1"/>
    <xf numFmtId="0" fontId="66" fillId="2" borderId="0" xfId="0" applyFont="1" applyFill="1"/>
    <xf numFmtId="167" fontId="66" fillId="2" borderId="0" xfId="0" applyNumberFormat="1" applyFont="1" applyFill="1"/>
    <xf numFmtId="0" fontId="67" fillId="0" borderId="0" xfId="0" applyFont="1"/>
    <xf numFmtId="0" fontId="65" fillId="0" borderId="0" xfId="0" applyFont="1"/>
    <xf numFmtId="0" fontId="68" fillId="14" borderId="0" xfId="0" applyFont="1" applyFill="1"/>
    <xf numFmtId="0" fontId="69" fillId="14" borderId="0" xfId="0" applyFont="1" applyFill="1"/>
    <xf numFmtId="0" fontId="70" fillId="14" borderId="0" xfId="0" applyFont="1" applyFill="1" applyAlignment="1">
      <alignment horizontal="center"/>
    </xf>
    <xf numFmtId="0" fontId="71" fillId="14" borderId="0" xfId="0" applyFont="1" applyFill="1" applyAlignment="1">
      <alignment textRotation="90"/>
    </xf>
    <xf numFmtId="0" fontId="72" fillId="14" borderId="0" xfId="0" applyFont="1" applyFill="1" applyAlignment="1">
      <alignment textRotation="90"/>
    </xf>
    <xf numFmtId="0" fontId="73" fillId="14" borderId="0" xfId="0" applyFont="1" applyFill="1"/>
    <xf numFmtId="0" fontId="74" fillId="14" borderId="0" xfId="0" applyFont="1" applyFill="1" applyAlignment="1">
      <alignment textRotation="45"/>
    </xf>
    <xf numFmtId="0" fontId="67" fillId="14" borderId="0" xfId="0" applyFont="1" applyFill="1"/>
    <xf numFmtId="0" fontId="75" fillId="14" borderId="0" xfId="0" applyFont="1" applyFill="1"/>
    <xf numFmtId="0" fontId="28" fillId="14" borderId="0" xfId="0" applyFont="1" applyFill="1"/>
    <xf numFmtId="0" fontId="78" fillId="2" borderId="0" xfId="0" applyFont="1" applyFill="1"/>
    <xf numFmtId="0" fontId="52" fillId="2" borderId="0" xfId="0" applyFont="1" applyFill="1" applyAlignment="1">
      <alignment horizontal="right"/>
    </xf>
    <xf numFmtId="0" fontId="42" fillId="2" borderId="0" xfId="0" applyFont="1" applyFill="1"/>
    <xf numFmtId="0" fontId="52" fillId="2" borderId="0" xfId="0" applyFont="1" applyFill="1"/>
    <xf numFmtId="0" fontId="79" fillId="2" borderId="1" xfId="0" applyFont="1" applyFill="1" applyBorder="1" applyAlignment="1">
      <alignment horizontal="right"/>
    </xf>
    <xf numFmtId="0" fontId="79" fillId="2" borderId="1" xfId="0" applyFont="1" applyFill="1" applyBorder="1"/>
    <xf numFmtId="0" fontId="80" fillId="2" borderId="0" xfId="0" applyFont="1" applyFill="1"/>
    <xf numFmtId="0" fontId="52" fillId="2" borderId="1" xfId="0" applyFont="1" applyFill="1" applyBorder="1" applyAlignment="1">
      <alignment horizontal="right"/>
    </xf>
    <xf numFmtId="0" fontId="52" fillId="2" borderId="1" xfId="0" applyFont="1" applyFill="1" applyBorder="1"/>
    <xf numFmtId="0" fontId="81" fillId="2" borderId="0" xfId="0" applyFont="1" applyFill="1"/>
    <xf numFmtId="169" fontId="58" fillId="2" borderId="0" xfId="0" applyNumberFormat="1" applyFont="1" applyFill="1" applyAlignment="1">
      <alignment horizontal="right" indent="1"/>
    </xf>
    <xf numFmtId="169" fontId="58" fillId="2" borderId="17" xfId="0" applyNumberFormat="1" applyFont="1" applyFill="1" applyBorder="1" applyAlignment="1">
      <alignment horizontal="right" indent="1"/>
    </xf>
    <xf numFmtId="169" fontId="60" fillId="2" borderId="0" xfId="0" applyNumberFormat="1" applyFont="1" applyFill="1" applyAlignment="1">
      <alignment horizontal="right" indent="1"/>
    </xf>
    <xf numFmtId="0" fontId="58" fillId="2" borderId="0" xfId="0" applyFont="1" applyFill="1" applyAlignment="1">
      <alignment horizontal="right"/>
    </xf>
    <xf numFmtId="169" fontId="58" fillId="2" borderId="0" xfId="0" applyNumberFormat="1" applyFont="1" applyFill="1" applyAlignment="1">
      <alignment horizontal="right"/>
    </xf>
    <xf numFmtId="169" fontId="58" fillId="2" borderId="17" xfId="0" applyNumberFormat="1" applyFont="1" applyFill="1" applyBorder="1" applyAlignment="1">
      <alignment horizontal="right"/>
    </xf>
    <xf numFmtId="169" fontId="60" fillId="2" borderId="0" xfId="0" applyNumberFormat="1" applyFont="1" applyFill="1" applyAlignment="1">
      <alignment horizontal="right"/>
    </xf>
    <xf numFmtId="0" fontId="71" fillId="5" borderId="6" xfId="0" applyFont="1" applyFill="1" applyBorder="1" applyAlignment="1">
      <alignment textRotation="45"/>
    </xf>
    <xf numFmtId="0" fontId="71" fillId="14" borderId="0" xfId="0" applyFont="1" applyFill="1" applyAlignment="1">
      <alignment textRotation="45"/>
    </xf>
    <xf numFmtId="0" fontId="71" fillId="5" borderId="0" xfId="0" applyFont="1" applyFill="1" applyAlignment="1">
      <alignment textRotation="45"/>
    </xf>
    <xf numFmtId="0" fontId="7" fillId="14" borderId="0" xfId="0" applyFont="1" applyFill="1"/>
    <xf numFmtId="0" fontId="41" fillId="0" borderId="0" xfId="0" applyFont="1"/>
    <xf numFmtId="0" fontId="3" fillId="4" borderId="0" xfId="0" applyFont="1" applyFill="1" applyAlignment="1">
      <alignment horizontal="right"/>
    </xf>
    <xf numFmtId="0" fontId="10" fillId="4" borderId="0" xfId="0" applyFont="1" applyFill="1"/>
    <xf numFmtId="0" fontId="14" fillId="17" borderId="6" xfId="0" applyFont="1" applyFill="1" applyBorder="1" applyAlignment="1">
      <alignment vertical="center" wrapText="1"/>
    </xf>
    <xf numFmtId="0" fontId="14" fillId="17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vertical="center" wrapText="1"/>
    </xf>
    <xf numFmtId="0" fontId="14" fillId="17" borderId="23" xfId="0" applyFont="1" applyFill="1" applyBorder="1" applyAlignment="1">
      <alignment vertical="center" wrapText="1"/>
    </xf>
    <xf numFmtId="0" fontId="15" fillId="18" borderId="6" xfId="0" applyFont="1" applyFill="1" applyBorder="1"/>
    <xf numFmtId="0" fontId="16" fillId="18" borderId="6" xfId="0" applyFont="1" applyFill="1" applyBorder="1"/>
    <xf numFmtId="170" fontId="14" fillId="18" borderId="6" xfId="0" applyNumberFormat="1" applyFont="1" applyFill="1" applyBorder="1"/>
    <xf numFmtId="0" fontId="15" fillId="18" borderId="0" xfId="0" applyFont="1" applyFill="1"/>
    <xf numFmtId="0" fontId="16" fillId="18" borderId="0" xfId="0" applyFont="1" applyFill="1"/>
    <xf numFmtId="170" fontId="14" fillId="18" borderId="0" xfId="0" applyNumberFormat="1" applyFont="1" applyFill="1"/>
    <xf numFmtId="0" fontId="15" fillId="2" borderId="0" xfId="0" applyFont="1" applyFill="1"/>
    <xf numFmtId="0" fontId="16" fillId="2" borderId="0" xfId="0" applyFont="1" applyFill="1"/>
    <xf numFmtId="170" fontId="14" fillId="2" borderId="0" xfId="0" applyNumberFormat="1" applyFont="1" applyFill="1"/>
    <xf numFmtId="0" fontId="16" fillId="18" borderId="0" xfId="0" applyFont="1" applyFill="1" applyAlignment="1">
      <alignment wrapText="1"/>
    </xf>
    <xf numFmtId="0" fontId="16" fillId="2" borderId="0" xfId="0" applyFont="1" applyFill="1" applyAlignment="1">
      <alignment wrapText="1"/>
    </xf>
    <xf numFmtId="0" fontId="82" fillId="2" borderId="0" xfId="0" applyFont="1" applyFill="1"/>
    <xf numFmtId="0" fontId="83" fillId="0" borderId="0" xfId="0" applyFont="1"/>
    <xf numFmtId="0" fontId="82" fillId="0" borderId="0" xfId="0" applyFont="1"/>
    <xf numFmtId="0" fontId="60" fillId="2" borderId="0" xfId="0" applyFont="1" applyFill="1" applyAlignment="1">
      <alignment horizontal="center"/>
    </xf>
    <xf numFmtId="0" fontId="84" fillId="2" borderId="0" xfId="0" applyFont="1" applyFill="1"/>
    <xf numFmtId="0" fontId="28" fillId="14" borderId="12" xfId="0" applyFont="1" applyFill="1" applyBorder="1" applyAlignment="1">
      <alignment horizontal="center"/>
    </xf>
    <xf numFmtId="0" fontId="16" fillId="2" borderId="14" xfId="0" applyFont="1" applyFill="1" applyBorder="1" applyAlignment="1">
      <alignment horizontal="right" vertical="center" wrapText="1"/>
    </xf>
    <xf numFmtId="0" fontId="16" fillId="2" borderId="12" xfId="0" applyFont="1" applyFill="1" applyBorder="1" applyAlignment="1">
      <alignment horizontal="right" vertical="center" wrapText="1"/>
    </xf>
    <xf numFmtId="0" fontId="46" fillId="11" borderId="7" xfId="0" applyFont="1" applyFill="1" applyBorder="1" applyAlignment="1">
      <alignment horizontal="center" vertical="center" wrapText="1"/>
    </xf>
    <xf numFmtId="0" fontId="30" fillId="3" borderId="14" xfId="0" applyFont="1" applyFill="1" applyBorder="1" applyAlignment="1">
      <alignment horizontal="center" vertical="center" wrapText="1"/>
    </xf>
    <xf numFmtId="0" fontId="30" fillId="3" borderId="15" xfId="0" applyFont="1" applyFill="1" applyBorder="1" applyAlignment="1">
      <alignment horizontal="center" vertical="center" wrapText="1"/>
    </xf>
    <xf numFmtId="0" fontId="42" fillId="9" borderId="21" xfId="0" applyFont="1" applyFill="1" applyBorder="1" applyAlignment="1">
      <alignment horizontal="center" vertical="center" textRotation="90"/>
    </xf>
    <xf numFmtId="0" fontId="42" fillId="9" borderId="16" xfId="0" applyFont="1" applyFill="1" applyBorder="1" applyAlignment="1">
      <alignment horizontal="center" vertical="center" textRotation="90"/>
    </xf>
    <xf numFmtId="0" fontId="42" fillId="8" borderId="16" xfId="0" applyFont="1" applyFill="1" applyBorder="1" applyAlignment="1">
      <alignment horizontal="center" vertical="center" textRotation="90" wrapText="1"/>
    </xf>
    <xf numFmtId="0" fontId="42" fillId="10" borderId="16" xfId="0" applyFont="1" applyFill="1" applyBorder="1" applyAlignment="1">
      <alignment horizontal="center" vertical="center" textRotation="90" wrapText="1"/>
    </xf>
    <xf numFmtId="0" fontId="30" fillId="3" borderId="14" xfId="0" applyFont="1" applyFill="1" applyBorder="1" applyAlignment="1">
      <alignment horizontal="right" vertical="center" wrapText="1"/>
    </xf>
    <xf numFmtId="0" fontId="30" fillId="3" borderId="15" xfId="0" applyFont="1" applyFill="1" applyBorder="1" applyAlignment="1">
      <alignment horizontal="right" vertical="center" wrapText="1"/>
    </xf>
    <xf numFmtId="0" fontId="50" fillId="14" borderId="0" xfId="0" applyFont="1" applyFill="1" applyAlignment="1">
      <alignment horizontal="center" vertical="center" textRotation="90" wrapText="1"/>
    </xf>
    <xf numFmtId="0" fontId="76" fillId="16" borderId="18" xfId="0" applyFont="1" applyFill="1" applyBorder="1" applyAlignment="1">
      <alignment horizontal="center" vertical="center" textRotation="90"/>
    </xf>
    <xf numFmtId="0" fontId="76" fillId="16" borderId="4" xfId="0" applyFont="1" applyFill="1" applyBorder="1" applyAlignment="1">
      <alignment horizontal="center" vertical="center" textRotation="90"/>
    </xf>
    <xf numFmtId="0" fontId="76" fillId="16" borderId="8" xfId="0" applyFont="1" applyFill="1" applyBorder="1" applyAlignment="1">
      <alignment horizontal="center" vertical="center" textRotation="90"/>
    </xf>
    <xf numFmtId="0" fontId="76" fillId="16" borderId="18" xfId="0" applyFont="1" applyFill="1" applyBorder="1" applyAlignment="1">
      <alignment horizontal="center" vertical="center" textRotation="90" wrapText="1"/>
    </xf>
    <xf numFmtId="0" fontId="76" fillId="16" borderId="4" xfId="0" applyFont="1" applyFill="1" applyBorder="1" applyAlignment="1">
      <alignment horizontal="center" vertical="center" textRotation="90" wrapText="1"/>
    </xf>
    <xf numFmtId="0" fontId="76" fillId="16" borderId="8" xfId="0" applyFont="1" applyFill="1" applyBorder="1" applyAlignment="1">
      <alignment horizontal="center" vertical="center" textRotation="90" wrapText="1"/>
    </xf>
    <xf numFmtId="0" fontId="9" fillId="11" borderId="16" xfId="0" applyFont="1" applyFill="1" applyBorder="1" applyAlignment="1">
      <alignment horizontal="center" vertical="center" wrapText="1"/>
    </xf>
    <xf numFmtId="0" fontId="9" fillId="11" borderId="22" xfId="0" applyFont="1" applyFill="1" applyBorder="1" applyAlignment="1">
      <alignment horizontal="center" vertical="center" wrapText="1"/>
    </xf>
    <xf numFmtId="0" fontId="42" fillId="9" borderId="19" xfId="0" applyFont="1" applyFill="1" applyBorder="1" applyAlignment="1">
      <alignment horizontal="center" vertical="center" textRotation="90"/>
    </xf>
    <xf numFmtId="0" fontId="42" fillId="9" borderId="7" xfId="0" applyFont="1" applyFill="1" applyBorder="1" applyAlignment="1">
      <alignment horizontal="center" vertical="center" textRotation="90"/>
    </xf>
    <xf numFmtId="0" fontId="42" fillId="8" borderId="7" xfId="0" applyFont="1" applyFill="1" applyBorder="1" applyAlignment="1">
      <alignment horizontal="center" vertical="center" textRotation="90" wrapText="1"/>
    </xf>
    <xf numFmtId="0" fontId="42" fillId="10" borderId="7" xfId="0" applyFont="1" applyFill="1" applyBorder="1" applyAlignment="1">
      <alignment horizontal="center" vertical="center" textRotation="90" wrapText="1"/>
    </xf>
    <xf numFmtId="2" fontId="47" fillId="12" borderId="19" xfId="0" applyNumberFormat="1" applyFont="1" applyFill="1" applyBorder="1" applyAlignment="1">
      <alignment horizontal="center" vertical="center"/>
    </xf>
    <xf numFmtId="2" fontId="47" fillId="12" borderId="22" xfId="0" applyNumberFormat="1" applyFont="1" applyFill="1" applyBorder="1" applyAlignment="1">
      <alignment horizontal="center" vertical="center"/>
    </xf>
    <xf numFmtId="0" fontId="77" fillId="16" borderId="18" xfId="0" applyFont="1" applyFill="1" applyBorder="1" applyAlignment="1">
      <alignment horizontal="center" vertical="center" textRotation="90"/>
    </xf>
    <xf numFmtId="0" fontId="77" fillId="16" borderId="4" xfId="0" applyFont="1" applyFill="1" applyBorder="1" applyAlignment="1">
      <alignment horizontal="center" vertical="center" textRotation="90"/>
    </xf>
    <xf numFmtId="0" fontId="77" fillId="16" borderId="8" xfId="0" applyFont="1" applyFill="1" applyBorder="1" applyAlignment="1">
      <alignment horizontal="center" vertical="center" textRotation="90"/>
    </xf>
    <xf numFmtId="2" fontId="47" fillId="12" borderId="21" xfId="0" applyNumberFormat="1" applyFont="1" applyFill="1" applyBorder="1" applyAlignment="1">
      <alignment horizontal="center" vertical="center"/>
    </xf>
  </cellXfs>
  <cellStyles count="3">
    <cellStyle name="Good" xfId="2" builtinId="26"/>
    <cellStyle name="Normal" xfId="0" builtinId="0"/>
    <cellStyle name="Standaard 2" xfId="1" xr:uid="{00000000-0005-0000-0000-000002000000}"/>
  </cellStyles>
  <dxfs count="38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0" indent="0" justifyLastLine="0" shrinkToFit="0" readingOrder="0"/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scheme val="minor"/>
      </font>
      <fill>
        <patternFill patternType="none">
          <fgColor indexed="64"/>
          <bgColor indexed="65"/>
        </patternFill>
      </fill>
    </dxf>
  </dxfs>
  <tableStyles count="1" defaultTableStyle="TableStyleMedium2" defaultPivotStyle="PivotStyleLight16">
    <tableStyle name="Table Style 1" pivot="0" count="0" xr9:uid="{00000000-0011-0000-FFFF-FFFF00000000}"/>
  </tableStyles>
  <colors>
    <mruColors>
      <color rgb="FFE4D2F2"/>
      <color rgb="FF405068"/>
      <color rgb="FFCCECFF"/>
      <color rgb="FF99CCFF"/>
      <color rgb="FFC6D7E2"/>
      <color rgb="FFAC4E1A"/>
      <color rgb="FF66B6BA"/>
      <color rgb="FF632205"/>
      <color rgb="FFBCDAD6"/>
      <color rgb="FF546A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27215</xdr:colOff>
      <xdr:row>1</xdr:row>
      <xdr:rowOff>11786</xdr:rowOff>
    </xdr:from>
    <xdr:to>
      <xdr:col>2</xdr:col>
      <xdr:colOff>0</xdr:colOff>
      <xdr:row>5</xdr:row>
      <xdr:rowOff>163285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16AA240-448C-4C13-BD90-E71BA3C48B43}"/>
            </a:ext>
          </a:extLst>
        </xdr:cNvPr>
        <xdr:cNvSpPr/>
      </xdr:nvSpPr>
      <xdr:spPr>
        <a:xfrm>
          <a:off x="1035744" y="224698"/>
          <a:ext cx="5676580" cy="10031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5400" b="1">
              <a:solidFill>
                <a:srgbClr val="002060"/>
              </a:solidFill>
            </a:rPr>
            <a:t>     Fert Eval</a:t>
          </a:r>
        </a:p>
      </xdr:txBody>
    </xdr:sp>
    <xdr:clientData/>
  </xdr:twoCellAnchor>
  <xdr:twoCellAnchor editAs="oneCell">
    <xdr:from>
      <xdr:col>1</xdr:col>
      <xdr:colOff>40821</xdr:colOff>
      <xdr:row>1</xdr:row>
      <xdr:rowOff>40822</xdr:rowOff>
    </xdr:from>
    <xdr:to>
      <xdr:col>1</xdr:col>
      <xdr:colOff>955221</xdr:colOff>
      <xdr:row>5</xdr:row>
      <xdr:rowOff>132069</xdr:rowOff>
    </xdr:to>
    <xdr:pic>
      <xdr:nvPicPr>
        <xdr:cNvPr id="3" name="Graphic 2" descr="Network with solid fill">
          <a:extLst>
            <a:ext uri="{FF2B5EF4-FFF2-40B4-BE49-F238E27FC236}">
              <a16:creationId xmlns:a16="http://schemas.microsoft.com/office/drawing/2014/main" id="{8E6F56B0-B6B6-4059-848D-722264BCC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50471" y="250372"/>
          <a:ext cx="914400" cy="9361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13607</xdr:colOff>
      <xdr:row>1</xdr:row>
      <xdr:rowOff>27215</xdr:rowOff>
    </xdr:from>
    <xdr:to>
      <xdr:col>2</xdr:col>
      <xdr:colOff>2914330</xdr:colOff>
      <xdr:row>6</xdr:row>
      <xdr:rowOff>9825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6557CD1-4E94-4633-8F24-74AAC89737FB}"/>
            </a:ext>
          </a:extLst>
        </xdr:cNvPr>
        <xdr:cNvSpPr/>
      </xdr:nvSpPr>
      <xdr:spPr>
        <a:xfrm>
          <a:off x="1374321" y="231322"/>
          <a:ext cx="5676580" cy="100314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5400" b="1">
              <a:solidFill>
                <a:srgbClr val="002060"/>
              </a:solidFill>
            </a:rPr>
            <a:t>     Fert Eval</a:t>
          </a:r>
        </a:p>
      </xdr:txBody>
    </xdr:sp>
    <xdr:clientData/>
  </xdr:twoCellAnchor>
  <xdr:twoCellAnchor editAs="oneCell">
    <xdr:from>
      <xdr:col>1</xdr:col>
      <xdr:colOff>27213</xdr:colOff>
      <xdr:row>1</xdr:row>
      <xdr:rowOff>56251</xdr:rowOff>
    </xdr:from>
    <xdr:to>
      <xdr:col>1</xdr:col>
      <xdr:colOff>941613</xdr:colOff>
      <xdr:row>5</xdr:row>
      <xdr:rowOff>182716</xdr:rowOff>
    </xdr:to>
    <xdr:pic>
      <xdr:nvPicPr>
        <xdr:cNvPr id="6" name="Graphic 5" descr="Network with solid fill">
          <a:extLst>
            <a:ext uri="{FF2B5EF4-FFF2-40B4-BE49-F238E27FC236}">
              <a16:creationId xmlns:a16="http://schemas.microsoft.com/office/drawing/2014/main" id="{FDBFF338-D1FE-42CB-80D5-A9F6F3989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87927" y="260358"/>
          <a:ext cx="914400" cy="9428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1039092</xdr:colOff>
      <xdr:row>0</xdr:row>
      <xdr:rowOff>727365</xdr:rowOff>
    </xdr:from>
    <xdr:to>
      <xdr:col>4</xdr:col>
      <xdr:colOff>1558636</xdr:colOff>
      <xdr:row>0</xdr:row>
      <xdr:rowOff>2147455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029F336-E907-496D-9BDE-FDFE3C9FF5D0}"/>
            </a:ext>
          </a:extLst>
        </xdr:cNvPr>
        <xdr:cNvSpPr/>
      </xdr:nvSpPr>
      <xdr:spPr>
        <a:xfrm>
          <a:off x="1039092" y="727365"/>
          <a:ext cx="9473044" cy="142009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8800" b="1">
              <a:solidFill>
                <a:srgbClr val="002060"/>
              </a:solidFill>
            </a:rPr>
            <a:t>     Fert Eval</a:t>
          </a:r>
        </a:p>
      </xdr:txBody>
    </xdr:sp>
    <xdr:clientData/>
  </xdr:twoCellAnchor>
  <xdr:twoCellAnchor editAs="oneCell">
    <xdr:from>
      <xdr:col>0</xdr:col>
      <xdr:colOff>204106</xdr:colOff>
      <xdr:row>0</xdr:row>
      <xdr:rowOff>167581</xdr:rowOff>
    </xdr:from>
    <xdr:to>
      <xdr:col>3</xdr:col>
      <xdr:colOff>34636</xdr:colOff>
      <xdr:row>0</xdr:row>
      <xdr:rowOff>2725080</xdr:rowOff>
    </xdr:to>
    <xdr:pic>
      <xdr:nvPicPr>
        <xdr:cNvPr id="3" name="Graphic 2" descr="Network with solid fill">
          <a:extLst>
            <a:ext uri="{FF2B5EF4-FFF2-40B4-BE49-F238E27FC236}">
              <a16:creationId xmlns:a16="http://schemas.microsoft.com/office/drawing/2014/main" id="{AA3604B6-EA0B-41BA-A78C-E1B959341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04106" y="167581"/>
          <a:ext cx="2480212" cy="25574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C394EA1-A8E1-45EE-8D5C-45900D000119}" name="Table15" displayName="Table15" ref="C5:C11" totalsRowShown="0" headerRowDxfId="37" dataDxfId="36">
  <autoFilter ref="C5:C11" xr:uid="{7C394EA1-A8E1-45EE-8D5C-45900D000119}"/>
  <tableColumns count="1">
    <tableColumn id="1" xr3:uid="{AF8F0C96-3EB5-455D-BD2D-05DBF9E1856B}" name="Number of diagnostic consultations with Gynecologist" dataDxfId="3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6C337E1-F511-4273-B4BD-BFF10A59E5D6}" name="Table1317" displayName="Table1317" ref="C12:C14" totalsRowShown="0" headerRowDxfId="34" dataDxfId="33">
  <autoFilter ref="C12:C14" xr:uid="{86C337E1-F511-4273-B4BD-BFF10A59E5D6}"/>
  <tableColumns count="1">
    <tableColumn id="1" xr3:uid="{71D22588-A51D-45E4-9E25-705B24B781C2}" name="HSG required?" dataDxfId="3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7247450-B359-46F9-B395-0E99FE791BE3}" name="Table1418" displayName="Table1418" ref="C16:C18" totalsRowShown="0" headerRowDxfId="31" dataDxfId="30">
  <autoFilter ref="C16:C18" xr:uid="{87247450-B359-46F9-B395-0E99FE791BE3}"/>
  <tableColumns count="1">
    <tableColumn id="1" xr3:uid="{92C3D2A2-816B-4E16-B476-DA3D8719ED44}" name="Diagnostic operation required?" dataDxfId="2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22369F3-D3BB-47B9-8798-FFB70AAFA64F}" name="Table18" displayName="Table18" ref="F5:F8" totalsRowShown="0" headerRowDxfId="28">
  <autoFilter ref="F5:F8" xr:uid="{722369F3-D3BB-47B9-8798-FFB70AAFA64F}"/>
  <tableColumns count="1">
    <tableColumn id="1" xr3:uid="{3265C919-549A-4A34-B5B0-03349D7B18A9}" name="Type of stimulation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6C67789B-647F-45FB-829E-89AC719C059D}" name="Table1523" displayName="Table1523" ref="C20:C26" totalsRowShown="0" headerRowDxfId="27" dataDxfId="26">
  <autoFilter ref="C20:C26" xr:uid="{6C67789B-647F-45FB-829E-89AC719C059D}"/>
  <tableColumns count="1">
    <tableColumn id="1" xr3:uid="{2C7D41D2-06BA-4841-A63C-371F947F3CC2}" name="Number of IVF intake consultations with Gynecologist" dataDxfId="25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558BA042-CC2A-49FD-A8F2-05A0BD849AF4}" name="Table152324" displayName="Table152324" ref="C27:C31" totalsRowShown="0" headerRowDxfId="24" dataDxfId="23">
  <autoFilter ref="C27:C31" xr:uid="{558BA042-CC2A-49FD-A8F2-05A0BD849AF4}"/>
  <tableColumns count="1">
    <tableColumn id="1" xr3:uid="{C682EC76-E137-4C31-818F-7B64757C3409}" name="Number of semen survival tests (SSTs) required" dataDxfId="22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AE05A46-AFD9-4264-BEDB-01101207E20B}" name="Table2125" displayName="Table2125" ref="H5:H15" totalsRowShown="0" headerRowDxfId="21" dataDxfId="20" tableBorderDxfId="19">
  <autoFilter ref="H5:H15" xr:uid="{4AE05A46-AFD9-4264-BEDB-01101207E20B}"/>
  <tableColumns count="1">
    <tableColumn id="1" xr3:uid="{3E2EBC07-3CEE-4FC7-9626-0B78A9A33278}" name="Number of consultations IUI" dataDxfId="18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17927049-2CE9-4FEC-BB22-81ADE737A02C}" name="Table25" displayName="Table25" ref="J5:J22" totalsRowShown="0" headerRowDxfId="17" dataDxfId="16">
  <autoFilter ref="J5:J22" xr:uid="{17927049-2CE9-4FEC-BB22-81ADE737A02C}"/>
  <tableColumns count="1">
    <tableColumn id="1" xr3:uid="{CBE85BF1-BB37-4CAC-8DFB-20EDF279A75E}" name="Number of consultations (IVF)" dataDxfId="15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ED4ECB1D-68E6-4D36-8D34-F0590EFD607B}" name="Table27" displayName="Table27" ref="F10:F20" totalsRowShown="0" headerRowDxfId="14">
  <autoFilter ref="F10:F20" xr:uid="{ED4ECB1D-68E6-4D36-8D34-F0590EFD607B}"/>
  <tableColumns count="1">
    <tableColumn id="1" xr3:uid="{E4E25081-A772-462A-8EDD-BB95FBAD8B52}" name="Number of consultations OI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B39AE1FE-6882-43FC-88C2-C59DD5670AC0}" name="Table28" displayName="Table28" ref="L5:L37" totalsRowShown="0" headerRowDxfId="13" headerRowBorderDxfId="12" tableBorderDxfId="11">
  <autoFilter ref="L5:L37" xr:uid="{B39AE1FE-6882-43FC-88C2-C59DD5670AC0}"/>
  <tableColumns count="1">
    <tableColumn id="1" xr3:uid="{7AC9C45E-98C8-4EBC-8BAA-A25A53FE477C}" name="Number of oocytes predicted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F380E58B-57DF-4A27-828E-27644EC03103}" name="Table29" displayName="Table29" ref="N5:N27" totalsRowShown="0" headerRowDxfId="10">
  <autoFilter ref="N5:N27" xr:uid="{F380E58B-57DF-4A27-828E-27644EC03103}"/>
  <tableColumns count="1">
    <tableColumn id="1" xr3:uid="{4D273194-AA2B-4D4C-8507-2F6BE9109265}" name="Number of oocytes fertilized with IVF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148078C0-7C77-4C28-AC5C-4E6ECB788E6A}" name="Table30" displayName="Table30" ref="P5:P27" totalsRowShown="0" headerRowDxfId="9">
  <autoFilter ref="P5:P27" xr:uid="{148078C0-7C77-4C28-AC5C-4E6ECB788E6A}"/>
  <tableColumns count="1">
    <tableColumn id="1" xr3:uid="{CAD75D67-9C35-4B1F-9F92-C484EF58AEFA}" name="Number of oocytes fertilized with ICSI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F40AACF-1BDF-42E4-8C1E-2906A5377907}" name="Table31" displayName="Table31" ref="R5:R8" totalsRowShown="0" headerRowDxfId="8">
  <autoFilter ref="R5:R8" xr:uid="{0F40AACF-1BDF-42E4-8C1E-2906A5377907}"/>
  <tableColumns count="1">
    <tableColumn id="1" xr3:uid="{63CF69E4-6382-4BDD-BA5F-2214B7E143BE}" name="Embryo transfer cancelled?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2337FD5C-BC1D-4851-AA5F-130318039CDD}" name="Table32" displayName="Table32" ref="T5:T9" totalsRowShown="0" headerRowDxfId="7">
  <autoFilter ref="T5:T9" xr:uid="{2337FD5C-BC1D-4851-AA5F-130318039CDD}"/>
  <tableColumns count="1">
    <tableColumn id="1" xr3:uid="{FB52125C-F253-4455-B8A0-15682CFC3AA3}" name="Freezing technique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9D880A6A-E808-46E8-88D0-50BCC63DF736}" name="Table3234" displayName="Table3234" ref="V5:V9" totalsRowShown="0" headerRowDxfId="6">
  <autoFilter ref="V5:V9" xr:uid="{9D880A6A-E808-46E8-88D0-50BCC63DF736}"/>
  <tableColumns count="1">
    <tableColumn id="1" xr3:uid="{DC8E2206-053D-4FD5-8703-C1CBC079EA2D}" name="Thawing technique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4DEC700-670C-498A-BED1-AFCFA373A13B}" name="Table34" displayName="Table34" ref="X5:X11" totalsRowShown="0" headerRowDxfId="5">
  <autoFilter ref="X5:X11" xr:uid="{04DEC700-670C-498A-BED1-AFCFA373A13B}"/>
  <tableColumns count="1">
    <tableColumn id="1" xr3:uid="{CA30124C-484E-4F2B-945B-06AD08C335C7}" name="Number of embryos thawed for Embryo Transfer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BCD1FA69-F894-46EA-BC6F-B6D26A4F4248}" name="Table2536" displayName="Table2536" ref="Z5:Z22" totalsRowShown="0" headerRowDxfId="4" dataDxfId="3">
  <autoFilter ref="Z5:Z22" xr:uid="{BCD1FA69-F894-46EA-BC6F-B6D26A4F4248}"/>
  <tableColumns count="1">
    <tableColumn id="1" xr3:uid="{AA8006C4-36D8-43E3-A4FA-E0D207B3F331}" name="Number of consultations (FET)" dataDxfId="2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6FC5CA05-D68E-4344-BD11-CB619FA1A5CF}" name="Table36" displayName="Table36" ref="AB5:AB8" totalsRowShown="0">
  <autoFilter ref="AB5:AB8" xr:uid="{6FC5CA05-D68E-4344-BD11-CB619FA1A5CF}"/>
  <tableColumns count="1">
    <tableColumn id="1" xr3:uid="{553D76BA-A36A-4246-A934-78B0F7FBD887}" name="FET stimulation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21EAA0FC-1171-425C-919F-7F4E42166C2F}" name="Table39" displayName="Table39" ref="C33:C37" totalsRowShown="0" headerRowDxfId="1">
  <autoFilter ref="C33:C37" xr:uid="{21EAA0FC-1171-425C-919F-7F4E42166C2F}"/>
  <tableColumns count="1">
    <tableColumn id="1" xr3:uid="{19172B2F-7A41-4E8E-8EFC-50FF7DF3E80F}" name="Urology or Andrology consult?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53E96605-D24A-4356-9692-CF5A84DE239A}" name="Table40" displayName="Table40" ref="C39:C42" totalsRowShown="0" headerRowDxfId="0">
  <autoFilter ref="C39:C42" xr:uid="{53E96605-D24A-4356-9692-CF5A84DE239A}"/>
  <tableColumns count="1">
    <tableColumn id="1" xr3:uid="{8C879BFC-B5F3-49AC-ADFA-FAFC3F5AD559}" name="Testicular Ultrasound?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Vapor Trail">
  <a:themeElements>
    <a:clrScheme name="Vapor Trail">
      <a:dk1>
        <a:sysClr val="windowText" lastClr="000000"/>
      </a:dk1>
      <a:lt1>
        <a:sysClr val="window" lastClr="FFFFFF"/>
      </a:lt1>
      <a:dk2>
        <a:srgbClr val="454545"/>
      </a:dk2>
      <a:lt2>
        <a:srgbClr val="DADADA"/>
      </a:lt2>
      <a:accent1>
        <a:srgbClr val="DF2E28"/>
      </a:accent1>
      <a:accent2>
        <a:srgbClr val="FE801A"/>
      </a:accent2>
      <a:accent3>
        <a:srgbClr val="E9BF35"/>
      </a:accent3>
      <a:accent4>
        <a:srgbClr val="81BB42"/>
      </a:accent4>
      <a:accent5>
        <a:srgbClr val="32C7A9"/>
      </a:accent5>
      <a:accent6>
        <a:srgbClr val="4A9BDC"/>
      </a:accent6>
      <a:hlink>
        <a:srgbClr val="F0532B"/>
      </a:hlink>
      <a:folHlink>
        <a:srgbClr val="F38B53"/>
      </a:folHlink>
    </a:clrScheme>
    <a:fontScheme name="Vapor Trail">
      <a:majorFont>
        <a:latin typeface="Century Gothic" panose="020B0502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Vapor Trail">
      <a:fillStyleLst>
        <a:solidFill>
          <a:schemeClr val="phClr"/>
        </a:solidFill>
        <a:gradFill rotWithShape="1">
          <a:gsLst>
            <a:gs pos="0">
              <a:schemeClr val="phClr">
                <a:tint val="69000"/>
                <a:alpha val="100000"/>
                <a:satMod val="109000"/>
                <a:lumMod val="110000"/>
              </a:schemeClr>
            </a:gs>
            <a:gs pos="52000">
              <a:schemeClr val="phClr">
                <a:tint val="74000"/>
                <a:satMod val="100000"/>
                <a:lumMod val="104000"/>
              </a:schemeClr>
            </a:gs>
            <a:gs pos="100000">
              <a:schemeClr val="phClr">
                <a:tint val="78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satMod val="100000"/>
                <a:lumMod val="104000"/>
              </a:schemeClr>
            </a:gs>
            <a:gs pos="78000">
              <a:schemeClr val="phClr">
                <a:shade val="100000"/>
                <a:satMod val="11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  <a:scene3d>
            <a:camera prst="orthographicFront">
              <a:rot lat="0" lon="0" rev="0"/>
            </a:camera>
            <a:lightRig rig="threePt" dir="t"/>
          </a:scene3d>
          <a:sp3d>
            <a:bevelT w="25400" h="12700"/>
          </a:sp3d>
        </a:effectStyle>
        <a:effectStyle>
          <a:effectLst>
            <a:outerShdw blurRad="57150" dist="19050" dir="5400000" algn="ctr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>
            <a:bevelT w="508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Vapor Trail" id="{4FDF2955-7D9C-493C-B9F9-C205151B46CD}" vid="{8F31A783-2159-4870-BC29-2BA7D038EA4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8A07-D899-419E-B39A-EC3B2DC7BBEA}">
  <sheetPr>
    <tabColor rgb="FF002060"/>
  </sheetPr>
  <dimension ref="A1:XFD153"/>
  <sheetViews>
    <sheetView tabSelected="1" zoomScale="70" zoomScaleNormal="70" workbookViewId="0">
      <selection activeCell="F35" sqref="F35"/>
    </sheetView>
  </sheetViews>
  <sheetFormatPr defaultColWidth="0" defaultRowHeight="14.25" zeroHeight="1"/>
  <cols>
    <col min="1" max="1" width="10.375" style="210" customWidth="1"/>
    <col min="2" max="2" width="74.875" style="81" bestFit="1" customWidth="1"/>
    <col min="3" max="3" width="22.25" style="81" customWidth="1"/>
    <col min="4" max="4" width="17.875" style="81" customWidth="1"/>
    <col min="5" max="5" width="10.125" style="234" customWidth="1"/>
    <col min="6" max="6" width="15.625" style="284" customWidth="1"/>
    <col min="7" max="20" width="9" style="81" hidden="1" customWidth="1"/>
    <col min="21" max="34" width="0" style="81" hidden="1" customWidth="1"/>
    <col min="35" max="35" width="0" style="81" hidden="1"/>
    <col min="36" max="16381" width="9" style="81" hidden="1"/>
    <col min="16382" max="16382" width="3.625" style="210" hidden="1" customWidth="1"/>
    <col min="16383" max="16383" width="13" style="210" hidden="1" customWidth="1"/>
    <col min="16384" max="16384" width="10.125" style="210" hidden="1" customWidth="1"/>
  </cols>
  <sheetData>
    <row r="1" spans="1:34 16382:16384" ht="16.5">
      <c r="B1" s="210"/>
      <c r="C1" s="210"/>
      <c r="D1" s="210"/>
      <c r="E1" s="230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pans="1:34 16382:16384" ht="16.5">
      <c r="B2" s="210"/>
      <c r="C2" s="210"/>
      <c r="D2" s="210"/>
      <c r="E2" s="230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</row>
    <row r="3" spans="1:34 16382:16384" ht="16.5">
      <c r="B3" s="210"/>
      <c r="C3" s="210"/>
      <c r="D3" s="210"/>
      <c r="E3" s="230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 16382:16384" ht="16.5">
      <c r="B4" s="210"/>
      <c r="C4" s="210"/>
      <c r="D4" s="210"/>
      <c r="E4" s="230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 16382:16384" s="286" customFormat="1" ht="16.5">
      <c r="A5" s="210"/>
      <c r="B5" s="210"/>
      <c r="C5" s="210"/>
      <c r="D5" s="210"/>
      <c r="E5" s="230"/>
      <c r="F5" s="284"/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  <c r="AE5" s="285"/>
      <c r="AF5" s="285"/>
      <c r="AG5" s="285"/>
      <c r="AH5" s="285"/>
      <c r="XFB5" s="284"/>
      <c r="XFC5" s="284"/>
      <c r="XFD5" s="284"/>
    </row>
    <row r="6" spans="1:34 16382:16384" s="286" customFormat="1" ht="16.5">
      <c r="A6" s="210"/>
      <c r="B6" s="210"/>
      <c r="C6" s="210"/>
      <c r="D6" s="210"/>
      <c r="E6" s="230"/>
      <c r="F6" s="284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  <c r="AB6" s="285"/>
      <c r="AC6" s="285"/>
      <c r="AD6" s="285"/>
      <c r="AE6" s="285"/>
      <c r="AF6" s="285"/>
      <c r="AG6" s="285"/>
      <c r="AH6" s="285"/>
      <c r="XFB6" s="284"/>
      <c r="XFC6" s="284"/>
      <c r="XFD6" s="284"/>
    </row>
    <row r="7" spans="1:34 16382:16384" s="286" customFormat="1" ht="18.75">
      <c r="A7" s="211"/>
      <c r="B7" s="211"/>
      <c r="C7" s="211"/>
      <c r="D7" s="211"/>
      <c r="E7" s="231"/>
      <c r="F7" s="284"/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285"/>
      <c r="AA7" s="285"/>
      <c r="AB7" s="285"/>
      <c r="AC7" s="285"/>
      <c r="AD7" s="285"/>
      <c r="AE7" s="285"/>
      <c r="AF7" s="285"/>
      <c r="AG7" s="285"/>
      <c r="AH7" s="285"/>
      <c r="XFB7" s="284"/>
      <c r="XFC7" s="284"/>
      <c r="XFD7" s="284"/>
    </row>
    <row r="8" spans="1:34 16382:16384" s="286" customFormat="1" ht="18.75">
      <c r="A8" s="211"/>
      <c r="B8" s="220" t="s">
        <v>316</v>
      </c>
      <c r="C8" s="221" t="s">
        <v>414</v>
      </c>
      <c r="D8" s="221" t="s">
        <v>318</v>
      </c>
      <c r="E8" s="231"/>
      <c r="F8" s="284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  <c r="AB8" s="285"/>
      <c r="AC8" s="285"/>
      <c r="AD8" s="285"/>
      <c r="AE8" s="285"/>
      <c r="AF8" s="285"/>
      <c r="AG8" s="285"/>
      <c r="AH8" s="285"/>
      <c r="XFB8" s="284"/>
      <c r="XFC8" s="284"/>
      <c r="XFD8" s="284"/>
    </row>
    <row r="9" spans="1:34 16382:16384" s="286" customFormat="1" ht="18.75">
      <c r="A9" s="211"/>
      <c r="B9" s="212" t="s">
        <v>354</v>
      </c>
      <c r="C9" s="211"/>
      <c r="D9" s="211"/>
      <c r="E9" s="231"/>
      <c r="F9" s="284"/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5"/>
      <c r="AG9" s="285"/>
      <c r="AH9" s="285"/>
      <c r="XFB9" s="284"/>
      <c r="XFC9" s="284"/>
      <c r="XFD9" s="284"/>
    </row>
    <row r="10" spans="1:34 16382:16384" s="286" customFormat="1" ht="18.75">
      <c r="A10" s="211"/>
      <c r="B10" s="211" t="s">
        <v>324</v>
      </c>
      <c r="C10" s="214">
        <v>2</v>
      </c>
      <c r="D10" s="255">
        <f>C10*(rate0+rate1)*40</f>
        <v>162.15098394324122</v>
      </c>
      <c r="E10" s="231"/>
      <c r="F10" s="284"/>
      <c r="G10" s="285"/>
      <c r="H10" s="285"/>
      <c r="I10" s="285"/>
      <c r="J10" s="285"/>
      <c r="K10" s="285"/>
      <c r="L10" s="285"/>
      <c r="M10" s="285"/>
      <c r="N10" s="285"/>
      <c r="O10" s="285"/>
      <c r="P10" s="285"/>
      <c r="Q10" s="285"/>
      <c r="R10" s="285"/>
      <c r="S10" s="285"/>
      <c r="T10" s="285"/>
      <c r="U10" s="285"/>
      <c r="V10" s="285"/>
      <c r="W10" s="285"/>
      <c r="X10" s="285"/>
      <c r="Y10" s="285"/>
      <c r="Z10" s="285"/>
      <c r="AA10" s="285"/>
      <c r="AB10" s="285"/>
      <c r="AC10" s="285"/>
      <c r="AD10" s="285"/>
      <c r="AE10" s="285"/>
      <c r="AF10" s="285"/>
      <c r="AG10" s="285"/>
      <c r="AH10" s="285"/>
      <c r="XFB10" s="284"/>
      <c r="XFC10" s="284"/>
      <c r="XFD10" s="284"/>
    </row>
    <row r="11" spans="1:34 16382:16384" s="286" customFormat="1" ht="18.75">
      <c r="A11" s="211"/>
      <c r="B11" s="211" t="s">
        <v>314</v>
      </c>
      <c r="C11" s="214" t="s">
        <v>323</v>
      </c>
      <c r="D11" s="255">
        <f>IF(C11="yes",(rate1*100+40*rate3+160*rate11+160*rate0+160*rate4+40*rate4+40*rate0),0)</f>
        <v>0</v>
      </c>
      <c r="E11" s="232"/>
      <c r="F11" s="284"/>
      <c r="G11" s="285"/>
      <c r="H11" s="285"/>
      <c r="I11" s="285"/>
      <c r="J11" s="285"/>
      <c r="K11" s="285"/>
      <c r="L11" s="285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A11" s="285"/>
      <c r="AB11" s="285"/>
      <c r="AC11" s="285"/>
      <c r="AD11" s="285"/>
      <c r="AE11" s="285"/>
      <c r="AF11" s="285"/>
      <c r="AG11" s="285"/>
      <c r="AH11" s="285"/>
      <c r="XFB11" s="284"/>
      <c r="XFC11" s="284"/>
      <c r="XFD11" s="284"/>
    </row>
    <row r="12" spans="1:34 16382:16384" s="286" customFormat="1" ht="18.75">
      <c r="A12" s="211"/>
      <c r="B12" s="211" t="s">
        <v>359</v>
      </c>
      <c r="C12" s="214">
        <v>0</v>
      </c>
      <c r="D12" s="255">
        <f>C12*(30*rate5+90*rate11+90*rate0+90*rate4+40.99)</f>
        <v>0</v>
      </c>
      <c r="E12" s="232"/>
      <c r="F12" s="284"/>
      <c r="G12" s="285"/>
      <c r="H12" s="285"/>
      <c r="I12" s="285"/>
      <c r="J12" s="285"/>
      <c r="K12" s="285"/>
      <c r="L12" s="285"/>
      <c r="M12" s="285"/>
      <c r="N12" s="285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  <c r="AB12" s="285"/>
      <c r="AC12" s="285"/>
      <c r="AD12" s="285"/>
      <c r="AE12" s="285"/>
      <c r="AF12" s="285"/>
      <c r="AG12" s="285"/>
      <c r="AH12" s="285"/>
      <c r="XFB12" s="284"/>
      <c r="XFC12" s="284"/>
      <c r="XFD12" s="284"/>
    </row>
    <row r="13" spans="1:34 16382:16384" s="286" customFormat="1" ht="18.75">
      <c r="A13" s="211"/>
      <c r="B13" s="211" t="s">
        <v>315</v>
      </c>
      <c r="C13" s="214" t="s">
        <v>323</v>
      </c>
      <c r="D13" s="255">
        <f>IF(C13="yes",((40*rate0)+(40*rate1)+(40*rate4)+(120*rate1)+(120*rate3)+(340*rate12)+(340*rate0)),0)</f>
        <v>0</v>
      </c>
      <c r="E13" s="232"/>
      <c r="F13" s="284"/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XFB13" s="284"/>
      <c r="XFC13" s="284"/>
      <c r="XFD13" s="284"/>
    </row>
    <row r="14" spans="1:34 16382:16384" s="286" customFormat="1" ht="19.5" thickBot="1">
      <c r="A14" s="211"/>
      <c r="B14" s="218" t="s">
        <v>331</v>
      </c>
      <c r="C14" s="219">
        <v>1</v>
      </c>
      <c r="D14" s="256">
        <f>C14*((74*rate6)+(74*rate7)+(74*rate0))</f>
        <v>195.51728390297015</v>
      </c>
      <c r="E14" s="231"/>
      <c r="F14" s="284"/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285"/>
      <c r="S14" s="285"/>
      <c r="T14" s="285"/>
      <c r="U14" s="285"/>
      <c r="V14" s="285"/>
      <c r="W14" s="285"/>
      <c r="X14" s="285"/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XFB14" s="284"/>
      <c r="XFC14" s="284"/>
      <c r="XFD14" s="284"/>
    </row>
    <row r="15" spans="1:34 16382:16384" s="286" customFormat="1" ht="19.5" thickTop="1">
      <c r="A15" s="211"/>
      <c r="B15" s="215"/>
      <c r="C15" s="222" t="s">
        <v>355</v>
      </c>
      <c r="D15" s="257">
        <f>SUM(D10:D14)+IF(SUM(D10:D14)&gt;0, ((10*rate1)+(40*(rate3))+(92.84)), 0)</f>
        <v>503.16451784621142</v>
      </c>
      <c r="E15" s="231"/>
      <c r="F15" s="284"/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W15" s="285"/>
      <c r="X15" s="285"/>
      <c r="Y15" s="285"/>
      <c r="Z15" s="285"/>
      <c r="AA15" s="285"/>
      <c r="AB15" s="285"/>
      <c r="AC15" s="285"/>
      <c r="AD15" s="285"/>
      <c r="AE15" s="285"/>
      <c r="AF15" s="285"/>
      <c r="AG15" s="285"/>
      <c r="AH15" s="285"/>
      <c r="XFB15" s="284"/>
      <c r="XFC15" s="284"/>
      <c r="XFD15" s="284"/>
    </row>
    <row r="16" spans="1:34 16382:16384" s="286" customFormat="1" ht="18.75">
      <c r="A16" s="211"/>
      <c r="B16" s="213"/>
      <c r="C16" s="214"/>
      <c r="D16" s="258"/>
      <c r="E16" s="231"/>
      <c r="F16" s="284"/>
      <c r="G16" s="285"/>
      <c r="H16" s="285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5"/>
      <c r="V16" s="285"/>
      <c r="W16" s="285"/>
      <c r="X16" s="285"/>
      <c r="Y16" s="285"/>
      <c r="Z16" s="285"/>
      <c r="AA16" s="285"/>
      <c r="AB16" s="285"/>
      <c r="AC16" s="285"/>
      <c r="AD16" s="285"/>
      <c r="AE16" s="285"/>
      <c r="AF16" s="285"/>
      <c r="AG16" s="285"/>
      <c r="AH16" s="285"/>
      <c r="XFB16" s="284"/>
      <c r="XFC16" s="284"/>
      <c r="XFD16" s="284"/>
    </row>
    <row r="17" spans="1:34 16382:16384" s="286" customFormat="1" ht="18.75">
      <c r="A17" s="211"/>
      <c r="B17" s="212" t="s">
        <v>329</v>
      </c>
      <c r="C17" s="214"/>
      <c r="D17" s="258"/>
      <c r="E17" s="231"/>
      <c r="F17" s="284"/>
      <c r="G17" s="285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  <c r="AB17" s="285"/>
      <c r="AC17" s="285"/>
      <c r="AD17" s="285"/>
      <c r="AE17" s="285"/>
      <c r="AF17" s="285"/>
      <c r="AG17" s="285"/>
      <c r="AH17" s="285"/>
      <c r="XFB17" s="284"/>
      <c r="XFC17" s="284"/>
      <c r="XFD17" s="284"/>
    </row>
    <row r="18" spans="1:34 16382:16384" s="286" customFormat="1" ht="18.75">
      <c r="A18" s="211"/>
      <c r="B18" s="211" t="s">
        <v>324</v>
      </c>
      <c r="C18" s="214">
        <v>2</v>
      </c>
      <c r="D18" s="259">
        <f>C18*(rate1+rate0)*40</f>
        <v>162.15098394324122</v>
      </c>
      <c r="E18" s="231"/>
      <c r="F18" s="284"/>
      <c r="G18" s="285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285"/>
      <c r="S18" s="285"/>
      <c r="T18" s="285"/>
      <c r="U18" s="285"/>
      <c r="V18" s="285"/>
      <c r="W18" s="285"/>
      <c r="X18" s="285"/>
      <c r="Y18" s="285"/>
      <c r="Z18" s="285"/>
      <c r="AA18" s="285"/>
      <c r="AB18" s="285"/>
      <c r="AC18" s="285"/>
      <c r="AD18" s="285"/>
      <c r="AE18" s="285"/>
      <c r="AF18" s="285"/>
      <c r="AG18" s="285"/>
      <c r="AH18" s="285"/>
      <c r="XFB18" s="284"/>
      <c r="XFC18" s="284"/>
      <c r="XFD18" s="284"/>
    </row>
    <row r="19" spans="1:34 16382:16384" s="286" customFormat="1" ht="18.75">
      <c r="A19" s="211"/>
      <c r="B19" s="211" t="s">
        <v>314</v>
      </c>
      <c r="C19" s="214" t="s">
        <v>17</v>
      </c>
      <c r="D19" s="259">
        <f>IF(C19="yes",(rate1*100+40*rate3+160*rate11+160*rate0+160*rate4+40*rate4+40*rate0),0)</f>
        <v>622.64228523169584</v>
      </c>
      <c r="E19" s="231"/>
      <c r="F19" s="284"/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  <c r="AB19" s="285"/>
      <c r="AC19" s="285"/>
      <c r="AD19" s="285"/>
      <c r="AE19" s="285"/>
      <c r="AF19" s="285"/>
      <c r="AG19" s="285"/>
      <c r="AH19" s="285"/>
      <c r="XFB19" s="284"/>
      <c r="XFC19" s="284"/>
      <c r="XFD19" s="284"/>
    </row>
    <row r="20" spans="1:34 16382:16384" s="286" customFormat="1" ht="18.75">
      <c r="A20" s="211"/>
      <c r="B20" s="211" t="s">
        <v>359</v>
      </c>
      <c r="C20" s="214">
        <v>0</v>
      </c>
      <c r="D20" s="259">
        <f>C20*(30*rate5+90*rate11+90*rate0+90*rate4+40.99)</f>
        <v>0</v>
      </c>
      <c r="E20" s="231"/>
      <c r="F20" s="284"/>
      <c r="G20" s="285"/>
      <c r="H20" s="285"/>
      <c r="I20" s="285"/>
      <c r="J20" s="285"/>
      <c r="K20" s="285"/>
      <c r="L20" s="285"/>
      <c r="M20" s="285"/>
      <c r="N20" s="285"/>
      <c r="O20" s="285"/>
      <c r="P20" s="285"/>
      <c r="Q20" s="285"/>
      <c r="R20" s="285"/>
      <c r="S20" s="285"/>
      <c r="T20" s="285"/>
      <c r="U20" s="285"/>
      <c r="V20" s="285"/>
      <c r="W20" s="285"/>
      <c r="X20" s="285"/>
      <c r="Y20" s="285"/>
      <c r="Z20" s="285"/>
      <c r="AA20" s="285"/>
      <c r="AB20" s="285"/>
      <c r="AC20" s="285"/>
      <c r="AD20" s="285"/>
      <c r="AE20" s="285"/>
      <c r="AF20" s="285"/>
      <c r="AG20" s="285"/>
      <c r="AH20" s="285"/>
      <c r="XFB20" s="284"/>
      <c r="XFC20" s="284"/>
      <c r="XFD20" s="284"/>
    </row>
    <row r="21" spans="1:34 16382:16384" s="286" customFormat="1" ht="18.75">
      <c r="A21" s="211"/>
      <c r="B21" s="211" t="s">
        <v>315</v>
      </c>
      <c r="C21" s="214" t="s">
        <v>323</v>
      </c>
      <c r="D21" s="259">
        <f>IF(C21="yes",((40*rate0)+(40*rate1)+(40*rate4)+(120*rate1)+(120*rate3)+(340*rate12)+(340*rate0)),0)</f>
        <v>0</v>
      </c>
      <c r="E21" s="231"/>
      <c r="F21" s="284"/>
      <c r="G21" s="285"/>
      <c r="H21" s="285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285"/>
      <c r="X21" s="285"/>
      <c r="Y21" s="285"/>
      <c r="Z21" s="285"/>
      <c r="AA21" s="285"/>
      <c r="AB21" s="285"/>
      <c r="AC21" s="285"/>
      <c r="AD21" s="285"/>
      <c r="AE21" s="285"/>
      <c r="AF21" s="285"/>
      <c r="AG21" s="285"/>
      <c r="AH21" s="285"/>
      <c r="XFB21" s="284"/>
      <c r="XFC21" s="284"/>
      <c r="XFD21" s="284"/>
    </row>
    <row r="22" spans="1:34 16382:16384" s="286" customFormat="1" ht="19.5" thickBot="1">
      <c r="A22" s="211"/>
      <c r="B22" s="218" t="s">
        <v>331</v>
      </c>
      <c r="C22" s="219">
        <v>1</v>
      </c>
      <c r="D22" s="260">
        <f>C22*((74*rate6)+(74*rate7)+(74*rate0))</f>
        <v>195.51728390297015</v>
      </c>
      <c r="E22" s="231"/>
      <c r="F22" s="284"/>
      <c r="G22" s="285"/>
      <c r="H22" s="285"/>
      <c r="I22" s="285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  <c r="AB22" s="285"/>
      <c r="AC22" s="285"/>
      <c r="AD22" s="285"/>
      <c r="AE22" s="285"/>
      <c r="AF22" s="285"/>
      <c r="AG22" s="285"/>
      <c r="AH22" s="285"/>
      <c r="XFB22" s="284"/>
      <c r="XFC22" s="284"/>
      <c r="XFD22" s="284"/>
    </row>
    <row r="23" spans="1:34 16382:16384" s="286" customFormat="1" ht="19.5" thickTop="1">
      <c r="A23" s="211"/>
      <c r="B23" s="215"/>
      <c r="C23" s="222" t="s">
        <v>356</v>
      </c>
      <c r="D23" s="261">
        <f>SUM(D18:D22)+IF(SUM(D18:D22)&gt;0,(71.95+7.46),0)</f>
        <v>1059.7205530779072</v>
      </c>
      <c r="E23" s="230"/>
      <c r="F23" s="284"/>
      <c r="G23" s="285"/>
      <c r="H23" s="285"/>
      <c r="I23" s="285"/>
      <c r="J23" s="285"/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85"/>
      <c r="X23" s="285"/>
      <c r="Y23" s="285"/>
      <c r="Z23" s="285"/>
      <c r="AA23" s="285"/>
      <c r="AB23" s="285"/>
      <c r="AC23" s="285"/>
      <c r="AD23" s="285"/>
      <c r="AE23" s="285"/>
      <c r="AF23" s="285"/>
      <c r="AG23" s="285"/>
      <c r="AH23" s="285"/>
      <c r="XFB23" s="284"/>
      <c r="XFC23" s="284"/>
      <c r="XFD23" s="284"/>
    </row>
    <row r="24" spans="1:34 16382:16384" s="286" customFormat="1" ht="18.75">
      <c r="A24" s="211"/>
      <c r="B24" s="213"/>
      <c r="C24" s="211"/>
      <c r="D24" s="211"/>
      <c r="E24" s="230"/>
      <c r="F24" s="284"/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285"/>
      <c r="AH24" s="285"/>
      <c r="XFB24" s="284"/>
      <c r="XFC24" s="284"/>
      <c r="XFD24" s="284"/>
    </row>
    <row r="25" spans="1:34 16382:16384" s="286" customFormat="1" ht="18.75">
      <c r="A25" s="211"/>
      <c r="B25" s="220" t="s">
        <v>317</v>
      </c>
      <c r="C25" s="221" t="s">
        <v>414</v>
      </c>
      <c r="D25" s="221" t="s">
        <v>318</v>
      </c>
      <c r="E25" s="230"/>
      <c r="F25" s="287"/>
      <c r="G25" s="285"/>
      <c r="H25" s="285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  <c r="AB25" s="285"/>
      <c r="AC25" s="285"/>
      <c r="AD25" s="285"/>
      <c r="AE25" s="285"/>
      <c r="AF25" s="285"/>
      <c r="AG25" s="285"/>
      <c r="AH25" s="285"/>
      <c r="XFB25" s="284"/>
      <c r="XFC25" s="3"/>
      <c r="XFD25" s="284"/>
    </row>
    <row r="26" spans="1:34 16382:16384" s="286" customFormat="1" ht="23.25">
      <c r="A26" s="211"/>
      <c r="B26" s="213" t="s">
        <v>394</v>
      </c>
      <c r="C26" s="210" t="s">
        <v>418</v>
      </c>
      <c r="D26" s="216">
        <f>VLOOKUP(C26, 'Cost estimate per treatment'!$C$9:$D$25, 2, FALSE)</f>
        <v>221</v>
      </c>
      <c r="E26" s="230"/>
      <c r="F26" s="288"/>
      <c r="G26" s="285"/>
      <c r="H26" s="285"/>
      <c r="I26" s="285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285"/>
      <c r="W26" s="285"/>
      <c r="X26" s="285"/>
      <c r="Y26" s="285"/>
      <c r="Z26" s="285"/>
      <c r="AA26" s="285"/>
      <c r="AB26" s="285"/>
      <c r="AC26" s="285"/>
      <c r="AD26" s="285"/>
      <c r="AE26" s="285"/>
      <c r="AF26" s="285"/>
      <c r="AG26" s="285"/>
      <c r="AH26" s="285"/>
      <c r="XFB26" s="284"/>
      <c r="XFC26" s="3"/>
      <c r="XFD26" s="284"/>
    </row>
    <row r="27" spans="1:34 16382:16384" s="286" customFormat="1" ht="23.25">
      <c r="A27" s="211"/>
      <c r="B27" s="213" t="s">
        <v>395</v>
      </c>
      <c r="C27" s="210" t="s">
        <v>418</v>
      </c>
      <c r="D27" s="216">
        <f>VLOOKUP(C27, 'Cost estimate per treatment'!$C$9:$D$25, 2, FALSE)</f>
        <v>221</v>
      </c>
      <c r="E27" s="230"/>
      <c r="F27" s="288"/>
      <c r="G27" s="285"/>
      <c r="H27" s="285"/>
      <c r="I27" s="285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  <c r="W27" s="285"/>
      <c r="X27" s="285"/>
      <c r="Y27" s="285"/>
      <c r="Z27" s="285"/>
      <c r="AA27" s="285"/>
      <c r="AB27" s="285"/>
      <c r="AC27" s="285"/>
      <c r="AD27" s="285"/>
      <c r="AE27" s="285"/>
      <c r="AF27" s="285"/>
      <c r="AG27" s="285"/>
      <c r="AH27" s="285"/>
      <c r="XFB27" s="284"/>
      <c r="XFC27" s="3"/>
      <c r="XFD27" s="284"/>
    </row>
    <row r="28" spans="1:34 16382:16384" s="286" customFormat="1" ht="23.25">
      <c r="A28" s="211"/>
      <c r="B28" s="213" t="s">
        <v>396</v>
      </c>
      <c r="C28" s="210" t="s">
        <v>419</v>
      </c>
      <c r="D28" s="216">
        <f>VLOOKUP(C28, 'Cost estimate per treatment'!$C$9:$D$25, 2, FALSE)</f>
        <v>854</v>
      </c>
      <c r="E28" s="230"/>
      <c r="F28" s="288"/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5"/>
      <c r="Z28" s="285"/>
      <c r="AA28" s="285"/>
      <c r="AB28" s="285"/>
      <c r="AC28" s="285"/>
      <c r="AD28" s="285"/>
      <c r="AE28" s="285"/>
      <c r="AF28" s="285"/>
      <c r="AG28" s="285"/>
      <c r="AH28" s="285"/>
      <c r="XFB28" s="284"/>
      <c r="XFC28" s="3"/>
      <c r="XFD28" s="284"/>
    </row>
    <row r="29" spans="1:34 16382:16384" s="286" customFormat="1" ht="23.25">
      <c r="A29" s="211"/>
      <c r="B29" s="213" t="s">
        <v>397</v>
      </c>
      <c r="C29" s="210" t="s">
        <v>421</v>
      </c>
      <c r="D29" s="216">
        <f>VLOOKUP(C29, 'Cost estimate per treatment'!$C$9:$D$25, 2, FALSE)</f>
        <v>2479</v>
      </c>
      <c r="E29" s="230"/>
      <c r="F29" s="288"/>
      <c r="G29" s="285"/>
      <c r="H29" s="285"/>
      <c r="I29" s="285"/>
      <c r="J29" s="285"/>
      <c r="K29" s="285"/>
      <c r="L29" s="285"/>
      <c r="M29" s="285"/>
      <c r="N29" s="285"/>
      <c r="O29" s="285"/>
      <c r="P29" s="285"/>
      <c r="Q29" s="285"/>
      <c r="R29" s="285"/>
      <c r="S29" s="285"/>
      <c r="T29" s="285"/>
      <c r="U29" s="285"/>
      <c r="V29" s="285"/>
      <c r="W29" s="285"/>
      <c r="X29" s="285"/>
      <c r="Y29" s="285"/>
      <c r="Z29" s="285"/>
      <c r="AA29" s="285"/>
      <c r="AB29" s="285"/>
      <c r="AC29" s="285"/>
      <c r="AD29" s="285"/>
      <c r="AE29" s="285"/>
      <c r="AF29" s="285"/>
      <c r="AG29" s="285"/>
      <c r="AH29" s="285"/>
      <c r="XFB29" s="284"/>
      <c r="XFC29" s="3"/>
      <c r="XFD29" s="284"/>
    </row>
    <row r="30" spans="1:34 16382:16384" s="286" customFormat="1" ht="23.25">
      <c r="A30" s="211"/>
      <c r="B30" s="213" t="s">
        <v>398</v>
      </c>
      <c r="C30" s="210" t="s">
        <v>418</v>
      </c>
      <c r="D30" s="216">
        <f>VLOOKUP(C30, 'Cost estimate per treatment'!$C$9:$D$25, 2, FALSE)</f>
        <v>221</v>
      </c>
      <c r="E30" s="230"/>
      <c r="F30" s="288"/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/>
      <c r="AF30" s="285"/>
      <c r="AG30" s="285"/>
      <c r="AH30" s="285"/>
      <c r="XFB30" s="284"/>
      <c r="XFC30" s="3"/>
      <c r="XFD30" s="284"/>
    </row>
    <row r="31" spans="1:34 16382:16384" s="286" customFormat="1" ht="23.25">
      <c r="A31" s="211"/>
      <c r="B31" s="213" t="s">
        <v>399</v>
      </c>
      <c r="C31" s="210" t="s">
        <v>431</v>
      </c>
      <c r="D31" s="216">
        <f>VLOOKUP(C31, 'Cost estimate per treatment'!$C$9:$D$25, 2, FALSE)</f>
        <v>940</v>
      </c>
      <c r="E31" s="230"/>
      <c r="F31" s="288"/>
      <c r="G31" s="285"/>
      <c r="H31" s="285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5"/>
      <c r="Y31" s="285"/>
      <c r="Z31" s="285"/>
      <c r="AA31" s="285"/>
      <c r="AB31" s="285"/>
      <c r="AC31" s="285"/>
      <c r="AD31" s="285"/>
      <c r="AE31" s="285"/>
      <c r="AF31" s="285"/>
      <c r="AG31" s="285"/>
      <c r="AH31" s="285"/>
      <c r="XFB31" s="284"/>
      <c r="XFC31" s="3"/>
      <c r="XFD31" s="284"/>
    </row>
    <row r="32" spans="1:34 16382:16384" s="286" customFormat="1" ht="23.25">
      <c r="A32" s="211"/>
      <c r="B32" s="213" t="s">
        <v>400</v>
      </c>
      <c r="C32" s="210" t="s">
        <v>433</v>
      </c>
      <c r="D32" s="216">
        <f>VLOOKUP(C32, 'Cost estimate per treatment'!$C$9:$D$25, 2, FALSE)</f>
        <v>0</v>
      </c>
      <c r="E32" s="230"/>
      <c r="F32" s="288"/>
      <c r="G32" s="285"/>
      <c r="H32" s="285"/>
      <c r="I32" s="285"/>
      <c r="J32" s="285"/>
      <c r="K32" s="285"/>
      <c r="L32" s="285"/>
      <c r="M32" s="285"/>
      <c r="N32" s="285"/>
      <c r="O32" s="285"/>
      <c r="P32" s="285"/>
      <c r="Q32" s="285"/>
      <c r="R32" s="285"/>
      <c r="S32" s="285"/>
      <c r="T32" s="285"/>
      <c r="U32" s="285"/>
      <c r="V32" s="285"/>
      <c r="W32" s="285"/>
      <c r="X32" s="285"/>
      <c r="Y32" s="285"/>
      <c r="Z32" s="285"/>
      <c r="AA32" s="285"/>
      <c r="AB32" s="285"/>
      <c r="AC32" s="285"/>
      <c r="AD32" s="285"/>
      <c r="AE32" s="285"/>
      <c r="AF32" s="285"/>
      <c r="AG32" s="285"/>
      <c r="AH32" s="285"/>
      <c r="XFB32" s="284"/>
      <c r="XFC32" s="3"/>
      <c r="XFD32" s="284"/>
    </row>
    <row r="33" spans="1:34 16382:16384" s="286" customFormat="1" ht="23.25">
      <c r="A33" s="211"/>
      <c r="B33" s="213" t="s">
        <v>401</v>
      </c>
      <c r="C33" s="210" t="s">
        <v>433</v>
      </c>
      <c r="D33" s="216">
        <f>VLOOKUP(C33, 'Cost estimate per treatment'!$C$9:$D$25, 2, FALSE)</f>
        <v>0</v>
      </c>
      <c r="E33" s="230"/>
      <c r="F33" s="288"/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XFB33" s="284"/>
      <c r="XFC33" s="3"/>
      <c r="XFD33" s="284"/>
    </row>
    <row r="34" spans="1:34 16382:16384" s="286" customFormat="1" ht="23.25">
      <c r="A34" s="211"/>
      <c r="B34" s="213" t="s">
        <v>402</v>
      </c>
      <c r="C34" s="210" t="s">
        <v>433</v>
      </c>
      <c r="D34" s="216">
        <f>VLOOKUP(C34, 'Cost estimate per treatment'!$C$9:$D$25, 2, FALSE)</f>
        <v>0</v>
      </c>
      <c r="E34" s="230"/>
      <c r="F34" s="288"/>
      <c r="G34" s="285"/>
      <c r="H34" s="285"/>
      <c r="I34" s="285"/>
      <c r="J34" s="285"/>
      <c r="K34" s="285"/>
      <c r="L34" s="285"/>
      <c r="M34" s="285"/>
      <c r="N34" s="285"/>
      <c r="O34" s="285"/>
      <c r="P34" s="285"/>
      <c r="Q34" s="285"/>
      <c r="R34" s="285"/>
      <c r="S34" s="285"/>
      <c r="T34" s="285"/>
      <c r="U34" s="285"/>
      <c r="V34" s="285"/>
      <c r="W34" s="285"/>
      <c r="X34" s="285"/>
      <c r="Y34" s="285"/>
      <c r="Z34" s="285"/>
      <c r="AA34" s="285"/>
      <c r="AB34" s="285"/>
      <c r="AC34" s="285"/>
      <c r="AD34" s="285"/>
      <c r="AE34" s="285"/>
      <c r="AF34" s="285"/>
      <c r="AG34" s="285"/>
      <c r="AH34" s="285"/>
      <c r="XFB34" s="284"/>
      <c r="XFC34" s="3"/>
      <c r="XFD34" s="284"/>
    </row>
    <row r="35" spans="1:34 16382:16384" s="286" customFormat="1" ht="23.25">
      <c r="A35" s="211"/>
      <c r="B35" s="213" t="s">
        <v>403</v>
      </c>
      <c r="C35" s="210" t="s">
        <v>433</v>
      </c>
      <c r="D35" s="216">
        <f>VLOOKUP(C35, 'Cost estimate per treatment'!$C$9:$D$25, 2, FALSE)</f>
        <v>0</v>
      </c>
      <c r="E35" s="231"/>
      <c r="F35" s="288"/>
      <c r="G35" s="285"/>
      <c r="H35" s="285"/>
      <c r="I35" s="285"/>
      <c r="J35" s="285"/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285"/>
      <c r="AB35" s="285"/>
      <c r="AC35" s="285"/>
      <c r="AD35" s="285"/>
      <c r="AE35" s="285"/>
      <c r="AF35" s="285"/>
      <c r="AG35" s="285"/>
      <c r="AH35" s="285"/>
      <c r="XFB35" s="284"/>
      <c r="XFC35" s="3"/>
      <c r="XFD35" s="284"/>
    </row>
    <row r="36" spans="1:34 16382:16384" s="286" customFormat="1" ht="23.25">
      <c r="A36" s="211"/>
      <c r="B36" s="213" t="s">
        <v>404</v>
      </c>
      <c r="C36" s="210" t="s">
        <v>433</v>
      </c>
      <c r="D36" s="216">
        <f>VLOOKUP(C36, 'Cost estimate per treatment'!$C$9:$D$25, 2, FALSE)</f>
        <v>0</v>
      </c>
      <c r="E36" s="231"/>
      <c r="F36" s="288"/>
      <c r="G36" s="285"/>
      <c r="H36" s="285"/>
      <c r="I36" s="285"/>
      <c r="J36" s="285"/>
      <c r="K36" s="285"/>
      <c r="L36" s="285"/>
      <c r="M36" s="285"/>
      <c r="N36" s="285"/>
      <c r="O36" s="285"/>
      <c r="P36" s="285"/>
      <c r="Q36" s="285"/>
      <c r="R36" s="285"/>
      <c r="S36" s="285"/>
      <c r="T36" s="285"/>
      <c r="U36" s="285"/>
      <c r="V36" s="285"/>
      <c r="W36" s="285"/>
      <c r="X36" s="285"/>
      <c r="Y36" s="285"/>
      <c r="Z36" s="285"/>
      <c r="AA36" s="285"/>
      <c r="AB36" s="285"/>
      <c r="AC36" s="285"/>
      <c r="AD36" s="285"/>
      <c r="AE36" s="285"/>
      <c r="AF36" s="285"/>
      <c r="AG36" s="285"/>
      <c r="AH36" s="285"/>
      <c r="XFB36" s="284"/>
      <c r="XFC36" s="3"/>
      <c r="XFD36" s="284"/>
    </row>
    <row r="37" spans="1:34 16382:16384" s="286" customFormat="1" ht="23.25">
      <c r="A37" s="211"/>
      <c r="B37" s="213" t="s">
        <v>405</v>
      </c>
      <c r="C37" s="210" t="s">
        <v>433</v>
      </c>
      <c r="D37" s="216">
        <f>VLOOKUP(C37, 'Cost estimate per treatment'!$C$9:$D$25, 2, FALSE)</f>
        <v>0</v>
      </c>
      <c r="E37" s="231"/>
      <c r="F37" s="288"/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5"/>
      <c r="Z37" s="285"/>
      <c r="AA37" s="285"/>
      <c r="AB37" s="285"/>
      <c r="AC37" s="285"/>
      <c r="AD37" s="285"/>
      <c r="AE37" s="285"/>
      <c r="AF37" s="285"/>
      <c r="AG37" s="285"/>
      <c r="AH37" s="285"/>
      <c r="XFB37" s="284"/>
      <c r="XFC37" s="3"/>
      <c r="XFD37" s="284"/>
    </row>
    <row r="38" spans="1:34 16382:16384" s="286" customFormat="1" ht="23.25">
      <c r="A38" s="211"/>
      <c r="B38" s="213" t="s">
        <v>406</v>
      </c>
      <c r="C38" s="210" t="s">
        <v>433</v>
      </c>
      <c r="D38" s="216">
        <f>VLOOKUP(C38, 'Cost estimate per treatment'!$C$9:$D$25, 2, FALSE)</f>
        <v>0</v>
      </c>
      <c r="E38" s="231"/>
      <c r="F38" s="288"/>
      <c r="G38" s="285"/>
      <c r="H38" s="285"/>
      <c r="I38" s="285"/>
      <c r="J38" s="285"/>
      <c r="K38" s="285"/>
      <c r="L38" s="285"/>
      <c r="M38" s="285"/>
      <c r="N38" s="285"/>
      <c r="O38" s="285"/>
      <c r="P38" s="285"/>
      <c r="Q38" s="285"/>
      <c r="R38" s="285"/>
      <c r="S38" s="285"/>
      <c r="T38" s="285"/>
      <c r="U38" s="285"/>
      <c r="V38" s="285"/>
      <c r="W38" s="285"/>
      <c r="X38" s="285"/>
      <c r="Y38" s="285"/>
      <c r="Z38" s="285"/>
      <c r="AA38" s="285"/>
      <c r="AB38" s="285"/>
      <c r="AC38" s="285"/>
      <c r="AD38" s="285"/>
      <c r="AE38" s="285"/>
      <c r="AF38" s="285"/>
      <c r="AG38" s="285"/>
      <c r="AH38" s="285"/>
      <c r="XFB38" s="284"/>
      <c r="XFC38" s="3"/>
      <c r="XFD38" s="284"/>
    </row>
    <row r="39" spans="1:34 16382:16384" s="286" customFormat="1" ht="23.25">
      <c r="A39" s="211"/>
      <c r="B39" s="213" t="s">
        <v>407</v>
      </c>
      <c r="C39" s="210" t="s">
        <v>433</v>
      </c>
      <c r="D39" s="216">
        <f>VLOOKUP(C39, 'Cost estimate per treatment'!$C$9:$D$25, 2, FALSE)</f>
        <v>0</v>
      </c>
      <c r="E39" s="231"/>
      <c r="F39" s="284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XFB39" s="284"/>
      <c r="XFC39" s="284"/>
      <c r="XFD39" s="284"/>
    </row>
    <row r="40" spans="1:34 16382:16384" s="286" customFormat="1" ht="23.25">
      <c r="A40" s="211"/>
      <c r="B40" s="213" t="s">
        <v>408</v>
      </c>
      <c r="C40" s="210" t="s">
        <v>433</v>
      </c>
      <c r="D40" s="216">
        <f>VLOOKUP(C40, 'Cost estimate per treatment'!$C$9:$D$25, 2, FALSE)</f>
        <v>0</v>
      </c>
      <c r="E40" s="231"/>
      <c r="F40" s="284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XFB40" s="284"/>
      <c r="XFC40" s="284"/>
      <c r="XFD40" s="284"/>
    </row>
    <row r="41" spans="1:34 16382:16384" s="286" customFormat="1" ht="23.25">
      <c r="A41" s="211"/>
      <c r="B41" s="213" t="s">
        <v>409</v>
      </c>
      <c r="C41" s="210" t="s">
        <v>433</v>
      </c>
      <c r="D41" s="216">
        <f>VLOOKUP(C41, 'Cost estimate per treatment'!$C$9:$D$25, 2, FALSE)</f>
        <v>0</v>
      </c>
      <c r="E41" s="231"/>
      <c r="F41" s="284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XFB41" s="284"/>
      <c r="XFC41" s="284"/>
      <c r="XFD41" s="284"/>
    </row>
    <row r="42" spans="1:34 16382:16384" s="286" customFormat="1" ht="23.25">
      <c r="A42" s="211"/>
      <c r="B42" s="213" t="s">
        <v>410</v>
      </c>
      <c r="C42" s="210" t="s">
        <v>433</v>
      </c>
      <c r="D42" s="216">
        <f>VLOOKUP(C42, 'Cost estimate per treatment'!$C$9:$D$25, 2, FALSE)</f>
        <v>0</v>
      </c>
      <c r="E42" s="231"/>
      <c r="F42" s="284"/>
      <c r="G42" s="285"/>
      <c r="H42" s="285"/>
      <c r="I42" s="285"/>
      <c r="J42" s="285"/>
      <c r="K42" s="285"/>
      <c r="L42" s="285"/>
      <c r="M42" s="285"/>
      <c r="N42" s="285"/>
      <c r="O42" s="285"/>
      <c r="P42" s="285"/>
      <c r="Q42" s="285"/>
      <c r="R42" s="285"/>
      <c r="S42" s="285"/>
      <c r="T42" s="285"/>
      <c r="U42" s="285"/>
      <c r="V42" s="285"/>
      <c r="W42" s="285"/>
      <c r="X42" s="285"/>
      <c r="Y42" s="285"/>
      <c r="Z42" s="285"/>
      <c r="AA42" s="285"/>
      <c r="AB42" s="285"/>
      <c r="AC42" s="285"/>
      <c r="AD42" s="285"/>
      <c r="AE42" s="285"/>
      <c r="AF42" s="285"/>
      <c r="AG42" s="285"/>
      <c r="AH42" s="285"/>
      <c r="XFB42" s="284"/>
      <c r="XFC42" s="284"/>
      <c r="XFD42" s="284"/>
    </row>
    <row r="43" spans="1:34 16382:16384" ht="23.25">
      <c r="A43" s="211"/>
      <c r="B43" s="213" t="s">
        <v>411</v>
      </c>
      <c r="C43" s="210" t="s">
        <v>433</v>
      </c>
      <c r="D43" s="216">
        <f>VLOOKUP(C43, 'Cost estimate per treatment'!$C$9:$D$25, 2, FALSE)</f>
        <v>0</v>
      </c>
      <c r="E43" s="231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 16382:16384" ht="23.25">
      <c r="A44" s="211"/>
      <c r="B44" s="213" t="s">
        <v>412</v>
      </c>
      <c r="C44" s="210" t="s">
        <v>433</v>
      </c>
      <c r="D44" s="216">
        <f>VLOOKUP(C44, 'Cost estimate per treatment'!$C$9:$D$25, 2, FALSE)</f>
        <v>0</v>
      </c>
      <c r="E44" s="231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 16382:16384" ht="24" thickBot="1">
      <c r="A45" s="211"/>
      <c r="B45" s="223" t="s">
        <v>413</v>
      </c>
      <c r="C45" s="224" t="s">
        <v>433</v>
      </c>
      <c r="D45" s="217">
        <f>VLOOKUP(C45, 'Cost estimate per treatment'!$C$9:$D$25, 2, FALSE)</f>
        <v>0</v>
      </c>
      <c r="E45" s="231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 16382:16384" ht="24" thickTop="1">
      <c r="A46" s="211"/>
      <c r="B46" s="210"/>
      <c r="C46" s="222" t="s">
        <v>434</v>
      </c>
      <c r="D46" s="216">
        <f>SUM(D26:D42, D23, D15)</f>
        <v>6498.8850709241187</v>
      </c>
      <c r="E46" s="231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 16382:16384" ht="18.75">
      <c r="A47" s="211"/>
      <c r="B47" s="210"/>
      <c r="C47" s="210"/>
      <c r="D47" s="210"/>
      <c r="E47" s="231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 16382:16384" ht="18.75">
      <c r="A48" s="211"/>
      <c r="B48" s="210"/>
      <c r="C48" s="210"/>
      <c r="D48" s="210"/>
      <c r="E48" s="231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16.5" hidden="1">
      <c r="A49"/>
      <c r="B49"/>
      <c r="C49"/>
      <c r="D49"/>
      <c r="E49" s="233"/>
      <c r="F49" s="285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16.5" hidden="1">
      <c r="A50"/>
      <c r="B50"/>
      <c r="C50"/>
      <c r="D50"/>
      <c r="E50" s="233"/>
      <c r="F50" s="285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16.5" hidden="1">
      <c r="A51"/>
      <c r="B51"/>
      <c r="C51"/>
      <c r="D51"/>
      <c r="E51" s="233"/>
      <c r="F51" s="285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ht="16.5" hidden="1">
      <c r="A52"/>
      <c r="B52"/>
      <c r="C52"/>
      <c r="D52"/>
      <c r="E52" s="233"/>
      <c r="F52" s="285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ht="16.5" hidden="1">
      <c r="A53"/>
      <c r="B53"/>
      <c r="C53"/>
      <c r="D53"/>
      <c r="E53" s="233"/>
      <c r="F53" s="285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 ht="16.5" hidden="1">
      <c r="A54"/>
      <c r="B54"/>
      <c r="C54"/>
      <c r="D54"/>
      <c r="E54" s="233"/>
      <c r="F54" s="285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ht="16.5" hidden="1">
      <c r="A55"/>
      <c r="B55"/>
      <c r="C55"/>
      <c r="D55"/>
      <c r="E55" s="233"/>
      <c r="F55" s="28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ht="16.5" hidden="1">
      <c r="A56"/>
      <c r="B56"/>
      <c r="C56"/>
      <c r="D56"/>
      <c r="E56" s="233"/>
      <c r="F56" s="285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ht="16.5" hidden="1">
      <c r="A57"/>
      <c r="B57"/>
      <c r="C57"/>
      <c r="D57"/>
      <c r="E57" s="233"/>
      <c r="F57" s="285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ht="16.5" hidden="1">
      <c r="A58"/>
      <c r="B58"/>
      <c r="C58"/>
      <c r="D58"/>
      <c r="E58" s="233"/>
      <c r="F58" s="285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1:34" ht="16.5" hidden="1">
      <c r="A59"/>
      <c r="B59"/>
      <c r="C59"/>
      <c r="D59"/>
      <c r="E59" s="233"/>
      <c r="F59" s="285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 ht="16.5" hidden="1">
      <c r="A60"/>
      <c r="B60"/>
      <c r="C60"/>
      <c r="D60"/>
      <c r="E60" s="233"/>
      <c r="F60" s="285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</row>
    <row r="61" spans="1:34" ht="16.5" hidden="1">
      <c r="A61"/>
      <c r="B61"/>
      <c r="C61"/>
      <c r="D61"/>
      <c r="E61" s="233"/>
      <c r="F61" s="285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 ht="16.5" hidden="1">
      <c r="A62"/>
      <c r="B62"/>
      <c r="C62"/>
      <c r="D62"/>
      <c r="E62" s="233"/>
      <c r="F62" s="285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  <row r="63" spans="1:34" ht="16.5" hidden="1">
      <c r="A63"/>
      <c r="B63"/>
      <c r="C63"/>
      <c r="D63"/>
      <c r="E63" s="233"/>
      <c r="F63" s="285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</row>
    <row r="64" spans="1:34" ht="16.5" hidden="1">
      <c r="A64"/>
      <c r="B64"/>
      <c r="C64"/>
      <c r="D64"/>
      <c r="E64" s="233"/>
      <c r="F64" s="285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</row>
    <row r="65" spans="1:34" ht="16.5" hidden="1">
      <c r="A65"/>
      <c r="B65"/>
      <c r="C65"/>
      <c r="D65"/>
      <c r="E65" s="233"/>
      <c r="F65" s="28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</row>
    <row r="66" spans="1:34" ht="16.5" hidden="1">
      <c r="A66"/>
      <c r="B66"/>
      <c r="C66"/>
      <c r="D66"/>
      <c r="E66" s="233"/>
      <c r="F66" s="285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</row>
    <row r="67" spans="1:34" ht="16.5" hidden="1">
      <c r="A67"/>
      <c r="B67"/>
      <c r="C67"/>
      <c r="D67"/>
      <c r="E67" s="233"/>
      <c r="F67" s="285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</row>
    <row r="68" spans="1:34" ht="16.5" hidden="1">
      <c r="A68"/>
      <c r="B68"/>
      <c r="C68"/>
      <c r="D68"/>
      <c r="E68" s="233"/>
      <c r="F68" s="285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</row>
    <row r="69" spans="1:34" ht="16.5" hidden="1">
      <c r="A69"/>
      <c r="B69"/>
      <c r="C69"/>
      <c r="D69"/>
      <c r="E69" s="233"/>
      <c r="F69" s="285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</row>
    <row r="70" spans="1:34" ht="16.5" hidden="1">
      <c r="A70"/>
      <c r="B70"/>
      <c r="C70"/>
      <c r="D70"/>
      <c r="E70" s="233"/>
      <c r="F70" s="285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</row>
    <row r="71" spans="1:34" ht="16.5" hidden="1">
      <c r="A71"/>
      <c r="B71"/>
      <c r="C71"/>
      <c r="D71"/>
      <c r="E71" s="233"/>
      <c r="F71" s="285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</row>
    <row r="72" spans="1:34" ht="16.5" hidden="1">
      <c r="A72"/>
      <c r="B72"/>
      <c r="C72"/>
      <c r="D72"/>
      <c r="E72" s="233"/>
      <c r="F72" s="285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</row>
    <row r="73" spans="1:34" ht="16.5" hidden="1">
      <c r="A73"/>
      <c r="B73"/>
      <c r="C73"/>
      <c r="D73"/>
      <c r="E73" s="233"/>
      <c r="F73" s="285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</row>
    <row r="74" spans="1:34" ht="16.5" hidden="1">
      <c r="A74"/>
      <c r="B74"/>
      <c r="C74"/>
      <c r="D74"/>
      <c r="E74" s="233"/>
      <c r="F74" s="285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</row>
    <row r="75" spans="1:34" ht="16.5" hidden="1">
      <c r="A75"/>
      <c r="B75"/>
      <c r="C75"/>
      <c r="D75"/>
      <c r="E75" s="233"/>
      <c r="F75" s="28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</row>
    <row r="76" spans="1:34" ht="16.5" hidden="1">
      <c r="A76"/>
      <c r="B76"/>
      <c r="C76"/>
      <c r="D76"/>
      <c r="E76" s="233"/>
      <c r="F76" s="285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</row>
    <row r="77" spans="1:34" ht="16.5" hidden="1">
      <c r="A77"/>
      <c r="B77"/>
      <c r="C77"/>
      <c r="D77"/>
      <c r="E77" s="233"/>
      <c r="F77" s="285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</row>
    <row r="78" spans="1:34" ht="16.5" hidden="1">
      <c r="A78"/>
      <c r="B78"/>
      <c r="C78"/>
      <c r="D78"/>
      <c r="E78" s="233"/>
      <c r="F78" s="285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</row>
    <row r="79" spans="1:34" ht="16.5" hidden="1">
      <c r="A79"/>
      <c r="B79"/>
      <c r="C79"/>
      <c r="D79"/>
      <c r="E79" s="233"/>
      <c r="F79" s="285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</row>
    <row r="80" spans="1:34" ht="16.5" hidden="1">
      <c r="A80"/>
      <c r="B80"/>
      <c r="C80"/>
      <c r="D80"/>
      <c r="E80" s="233"/>
      <c r="F80" s="285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</row>
    <row r="81" spans="1:34" ht="16.5" hidden="1">
      <c r="A81"/>
      <c r="B81"/>
      <c r="C81"/>
      <c r="D81"/>
      <c r="E81" s="233"/>
      <c r="F81" s="285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</row>
    <row r="82" spans="1:34" ht="16.5" hidden="1">
      <c r="A82"/>
      <c r="B82"/>
      <c r="C82"/>
      <c r="D82"/>
      <c r="E82" s="233"/>
      <c r="F82" s="285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</row>
    <row r="83" spans="1:34" ht="16.5" hidden="1">
      <c r="A83"/>
      <c r="B83"/>
      <c r="C83"/>
      <c r="D83"/>
      <c r="E83" s="233"/>
      <c r="F83" s="285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</row>
    <row r="84" spans="1:34" ht="16.5" hidden="1">
      <c r="A84"/>
      <c r="B84"/>
      <c r="C84"/>
      <c r="D84"/>
      <c r="E84" s="233"/>
      <c r="F84" s="285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</row>
    <row r="85" spans="1:34" ht="16.5" hidden="1">
      <c r="A85"/>
      <c r="B85"/>
      <c r="C85"/>
      <c r="D85"/>
      <c r="E85" s="233"/>
      <c r="F85" s="2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</row>
    <row r="86" spans="1:34" ht="16.5" hidden="1">
      <c r="A86"/>
      <c r="B86"/>
      <c r="C86"/>
      <c r="D86"/>
      <c r="E86" s="233"/>
      <c r="F86" s="285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</row>
    <row r="87" spans="1:34" ht="16.5" hidden="1">
      <c r="A87"/>
      <c r="B87"/>
      <c r="C87"/>
      <c r="D87"/>
      <c r="E87" s="233"/>
      <c r="F87" s="285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</row>
    <row r="88" spans="1:34" ht="16.5" hidden="1">
      <c r="A88"/>
      <c r="B88"/>
      <c r="C88"/>
      <c r="D88"/>
      <c r="E88" s="233"/>
      <c r="F88" s="285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</row>
    <row r="89" spans="1:34" ht="16.5" hidden="1">
      <c r="A89"/>
      <c r="B89"/>
      <c r="C89"/>
      <c r="D89"/>
      <c r="E89" s="233"/>
      <c r="F89" s="285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</row>
    <row r="90" spans="1:34" ht="16.5" hidden="1">
      <c r="A90"/>
      <c r="B90"/>
      <c r="C90"/>
      <c r="D90"/>
      <c r="E90" s="233"/>
      <c r="F90" s="285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</row>
    <row r="91" spans="1:34" ht="16.5" hidden="1">
      <c r="A91"/>
      <c r="B91"/>
      <c r="C91"/>
      <c r="D91"/>
      <c r="E91" s="233"/>
      <c r="F91" s="285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</row>
    <row r="92" spans="1:34" ht="16.5" hidden="1">
      <c r="A92"/>
      <c r="B92"/>
      <c r="C92"/>
      <c r="D92"/>
      <c r="E92" s="233"/>
      <c r="F92" s="285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</row>
    <row r="93" spans="1:34" ht="16.5" hidden="1">
      <c r="A93"/>
      <c r="B93"/>
      <c r="C93"/>
      <c r="D93"/>
      <c r="E93" s="233"/>
      <c r="F93" s="285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</row>
    <row r="94" spans="1:34" ht="16.5" hidden="1">
      <c r="A94"/>
      <c r="B94"/>
      <c r="C94"/>
      <c r="D94"/>
      <c r="E94" s="233"/>
      <c r="F94" s="285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</row>
    <row r="95" spans="1:34" ht="16.5" hidden="1">
      <c r="A95"/>
      <c r="B95"/>
      <c r="C95"/>
      <c r="D95"/>
      <c r="E95" s="233"/>
      <c r="F95" s="28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</row>
    <row r="96" spans="1:34" ht="16.5" hidden="1">
      <c r="A96"/>
      <c r="B96"/>
      <c r="C96"/>
      <c r="D96"/>
      <c r="E96" s="233"/>
      <c r="F96" s="285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</row>
    <row r="97" spans="1:34" ht="16.5" hidden="1">
      <c r="A97"/>
      <c r="B97"/>
      <c r="C97"/>
      <c r="D97"/>
      <c r="E97" s="233"/>
      <c r="F97" s="285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</row>
    <row r="98" spans="1:34" ht="16.5" hidden="1">
      <c r="A98"/>
      <c r="B98"/>
      <c r="C98"/>
      <c r="D98"/>
      <c r="E98" s="233"/>
      <c r="F98" s="285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</row>
    <row r="99" spans="1:34" ht="16.5" hidden="1">
      <c r="A99"/>
      <c r="B99"/>
      <c r="C99"/>
      <c r="D99"/>
      <c r="E99" s="233"/>
      <c r="F99" s="285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</row>
    <row r="100" spans="1:34" ht="16.5" hidden="1">
      <c r="A100"/>
      <c r="B100"/>
      <c r="C100"/>
      <c r="D100"/>
      <c r="E100" s="233"/>
      <c r="F100" s="285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</row>
    <row r="101" spans="1:34" ht="16.5" hidden="1">
      <c r="A101"/>
      <c r="B101"/>
      <c r="C101"/>
      <c r="D101"/>
      <c r="E101" s="233"/>
      <c r="F101" s="285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</row>
    <row r="102" spans="1:34" ht="16.5" hidden="1">
      <c r="A102"/>
      <c r="B102"/>
      <c r="C102"/>
      <c r="D102"/>
      <c r="E102" s="233"/>
      <c r="F102" s="285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</row>
    <row r="103" spans="1:34" ht="16.5" hidden="1">
      <c r="A103"/>
      <c r="B103"/>
      <c r="C103"/>
      <c r="D103"/>
      <c r="E103" s="233"/>
      <c r="F103" s="285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</row>
    <row r="104" spans="1:34" ht="16.5" hidden="1">
      <c r="A104"/>
      <c r="B104"/>
      <c r="C104"/>
      <c r="D104"/>
      <c r="E104" s="233"/>
      <c r="F104" s="285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</row>
    <row r="105" spans="1:34" ht="16.5" hidden="1">
      <c r="A105"/>
      <c r="B105"/>
      <c r="C105"/>
      <c r="D105"/>
      <c r="E105" s="233"/>
      <c r="F105" s="28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</row>
    <row r="106" spans="1:34" ht="16.5" hidden="1">
      <c r="A106"/>
      <c r="B106"/>
      <c r="C106"/>
      <c r="D106"/>
      <c r="E106" s="233"/>
      <c r="F106" s="285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</row>
    <row r="107" spans="1:34" ht="16.5" hidden="1">
      <c r="A107"/>
      <c r="B107"/>
      <c r="C107"/>
      <c r="D107"/>
      <c r="E107" s="233"/>
      <c r="F107" s="285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</row>
    <row r="108" spans="1:34" ht="16.5" hidden="1">
      <c r="A108"/>
      <c r="B108"/>
      <c r="C108"/>
      <c r="D108"/>
      <c r="E108" s="233"/>
      <c r="F108" s="285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</row>
    <row r="109" spans="1:34" ht="16.5" hidden="1">
      <c r="A109"/>
      <c r="B109"/>
      <c r="C109"/>
      <c r="D109"/>
      <c r="E109" s="233"/>
      <c r="F109" s="285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</row>
    <row r="110" spans="1:34" ht="16.5" hidden="1">
      <c r="A110"/>
      <c r="B110"/>
      <c r="C110"/>
      <c r="D110"/>
      <c r="E110" s="233"/>
      <c r="F110" s="285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</row>
    <row r="111" spans="1:34" ht="16.5" hidden="1">
      <c r="A111"/>
      <c r="B111"/>
      <c r="C111"/>
      <c r="D111"/>
      <c r="E111" s="233"/>
      <c r="F111" s="285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</row>
    <row r="112" spans="1:34" ht="16.5" hidden="1">
      <c r="A112"/>
      <c r="B112"/>
      <c r="C112"/>
      <c r="D112"/>
      <c r="E112" s="233"/>
      <c r="F112" s="285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</row>
    <row r="113" spans="1:34" ht="16.5" hidden="1">
      <c r="A113"/>
      <c r="B113"/>
      <c r="C113"/>
      <c r="D113"/>
      <c r="E113" s="233"/>
      <c r="F113" s="285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</row>
    <row r="114" spans="1:34" ht="16.5" hidden="1">
      <c r="A114"/>
      <c r="B114"/>
      <c r="C114"/>
      <c r="D114"/>
      <c r="E114" s="233"/>
      <c r="F114" s="285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</row>
    <row r="115" spans="1:34" ht="16.5" hidden="1">
      <c r="A115"/>
      <c r="B115"/>
      <c r="C115"/>
      <c r="D115"/>
      <c r="E115" s="233"/>
      <c r="F115" s="28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</row>
    <row r="116" spans="1:34" ht="16.5" hidden="1">
      <c r="A116"/>
      <c r="B116"/>
      <c r="C116"/>
      <c r="D116"/>
      <c r="E116" s="233"/>
      <c r="F116" s="285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</row>
    <row r="117" spans="1:34" ht="16.5" hidden="1">
      <c r="A117"/>
      <c r="B117"/>
      <c r="C117"/>
      <c r="D117"/>
      <c r="E117" s="233"/>
      <c r="F117" s="285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</row>
    <row r="118" spans="1:34" ht="16.5" hidden="1">
      <c r="A118"/>
      <c r="B118"/>
      <c r="C118"/>
      <c r="D118"/>
      <c r="E118" s="233"/>
      <c r="F118" s="285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</row>
    <row r="119" spans="1:34" ht="16.5" hidden="1">
      <c r="A119"/>
      <c r="B119"/>
      <c r="C119"/>
      <c r="D119"/>
      <c r="E119" s="233"/>
      <c r="F119" s="285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</row>
    <row r="120" spans="1:34" ht="16.5" hidden="1">
      <c r="A120"/>
      <c r="B120"/>
      <c r="C120"/>
      <c r="D120"/>
      <c r="E120" s="233"/>
      <c r="F120" s="285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</row>
    <row r="121" spans="1:34" ht="16.5" hidden="1">
      <c r="A121"/>
      <c r="B121"/>
      <c r="C121"/>
      <c r="D121"/>
      <c r="E121" s="233"/>
      <c r="F121" s="285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</row>
    <row r="122" spans="1:34" ht="16.5" hidden="1">
      <c r="A122"/>
      <c r="B122"/>
      <c r="C122"/>
      <c r="D122"/>
      <c r="E122" s="233"/>
      <c r="F122" s="285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</row>
    <row r="123" spans="1:34" ht="16.5" hidden="1">
      <c r="A123"/>
      <c r="B123"/>
      <c r="C123"/>
      <c r="D123"/>
      <c r="E123" s="233"/>
      <c r="F123" s="285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4" ht="16.5" hidden="1">
      <c r="A124"/>
      <c r="B124"/>
      <c r="C124"/>
      <c r="D124"/>
      <c r="E124" s="233"/>
      <c r="F124" s="285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4" ht="16.5" hidden="1">
      <c r="A125"/>
      <c r="B125"/>
      <c r="C125"/>
      <c r="D125"/>
      <c r="E125" s="233"/>
      <c r="F125" s="28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4" ht="16.5" hidden="1">
      <c r="A126"/>
      <c r="B126"/>
      <c r="C126"/>
      <c r="D126"/>
      <c r="E126" s="233"/>
      <c r="F126" s="285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4" ht="16.5" hidden="1">
      <c r="A127"/>
      <c r="B127"/>
      <c r="C127"/>
      <c r="D127"/>
      <c r="E127" s="233"/>
      <c r="F127" s="285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4" ht="16.5" hidden="1">
      <c r="A128"/>
      <c r="B128"/>
      <c r="C128"/>
      <c r="D128"/>
      <c r="E128" s="233"/>
      <c r="F128" s="285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16.5" hidden="1">
      <c r="A129"/>
      <c r="B129"/>
      <c r="C129"/>
      <c r="D129"/>
      <c r="E129" s="233"/>
      <c r="F129" s="285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16.5" hidden="1">
      <c r="A130"/>
      <c r="B130"/>
      <c r="C130"/>
      <c r="D130"/>
      <c r="E130" s="233"/>
      <c r="F130" s="285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16.5" hidden="1">
      <c r="A131"/>
      <c r="B131"/>
      <c r="C131"/>
      <c r="D131"/>
      <c r="E131" s="233"/>
      <c r="F131" s="285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16.5" hidden="1">
      <c r="A132"/>
      <c r="B132"/>
      <c r="C132"/>
      <c r="D132"/>
      <c r="E132" s="233"/>
      <c r="F132" s="285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16.5" hidden="1">
      <c r="A133"/>
      <c r="B133"/>
      <c r="C133"/>
      <c r="D133"/>
      <c r="E133" s="233"/>
      <c r="F133" s="285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16.5" hidden="1">
      <c r="A134"/>
      <c r="B134"/>
      <c r="C134"/>
      <c r="D134"/>
      <c r="E134" s="233"/>
      <c r="F134" s="285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16.5" hidden="1">
      <c r="A135"/>
      <c r="B135"/>
      <c r="C135"/>
      <c r="D135"/>
      <c r="E135" s="233"/>
      <c r="F135" s="28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16.5" hidden="1">
      <c r="A136"/>
      <c r="B136"/>
      <c r="C136"/>
      <c r="D136"/>
      <c r="E136" s="233"/>
      <c r="F136" s="285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16.5" hidden="1">
      <c r="A137"/>
      <c r="B137"/>
      <c r="C137"/>
      <c r="D137"/>
      <c r="E137" s="233"/>
      <c r="F137" s="285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16.5" hidden="1">
      <c r="A138"/>
      <c r="B138"/>
      <c r="C138"/>
      <c r="D138"/>
      <c r="E138" s="233"/>
      <c r="F138" s="285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16.5" hidden="1">
      <c r="A139"/>
      <c r="B139"/>
      <c r="C139"/>
      <c r="D139"/>
      <c r="E139" s="233"/>
      <c r="F139" s="285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16.5" hidden="1">
      <c r="A140"/>
      <c r="B140"/>
      <c r="C140"/>
      <c r="D140"/>
      <c r="E140" s="233"/>
      <c r="F140" s="285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16.5" hidden="1">
      <c r="A141"/>
      <c r="B141"/>
      <c r="C141"/>
      <c r="D141"/>
      <c r="E141" s="233"/>
      <c r="F141" s="285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16.5" hidden="1">
      <c r="A142"/>
      <c r="B142"/>
      <c r="C142"/>
      <c r="D142"/>
      <c r="E142" s="233"/>
      <c r="F142" s="285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16.5" hidden="1">
      <c r="A143"/>
      <c r="B143"/>
      <c r="C143"/>
      <c r="D143"/>
      <c r="E143" s="233"/>
      <c r="F143" s="285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16.5" hidden="1">
      <c r="A144"/>
      <c r="B144"/>
      <c r="C144"/>
      <c r="D144"/>
      <c r="E144" s="233"/>
      <c r="F144" s="285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16.5" hidden="1">
      <c r="A145"/>
      <c r="B145"/>
      <c r="C145"/>
      <c r="D145"/>
      <c r="E145" s="233"/>
      <c r="F145" s="28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16.5" hidden="1">
      <c r="A146"/>
      <c r="B146"/>
      <c r="C146"/>
      <c r="D146"/>
      <c r="E146" s="233"/>
      <c r="F146" s="285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16.5" hidden="1">
      <c r="A147"/>
      <c r="B147"/>
      <c r="C147"/>
      <c r="D147"/>
      <c r="E147" s="233"/>
      <c r="F147" s="285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16.5" hidden="1">
      <c r="A148"/>
      <c r="B148"/>
      <c r="C148"/>
      <c r="D148"/>
      <c r="E148" s="233"/>
      <c r="F148" s="285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16.5" hidden="1">
      <c r="A149"/>
      <c r="B149"/>
      <c r="C149"/>
      <c r="D149"/>
      <c r="E149" s="233"/>
      <c r="F149" s="285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16.5" hidden="1">
      <c r="A150"/>
      <c r="B150"/>
      <c r="C150"/>
      <c r="D150"/>
      <c r="E150" s="233"/>
      <c r="F150" s="285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16.5" hidden="1">
      <c r="A151"/>
      <c r="B151"/>
      <c r="C151"/>
      <c r="D151"/>
      <c r="E151" s="233"/>
      <c r="F151" s="285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16.5" hidden="1">
      <c r="A152"/>
      <c r="B152"/>
      <c r="C152"/>
      <c r="D152"/>
      <c r="E152" s="233"/>
      <c r="F152" s="285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16.5" hidden="1">
      <c r="A153"/>
      <c r="B153"/>
      <c r="C153"/>
      <c r="D153"/>
      <c r="E153" s="233"/>
      <c r="F153" s="285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</row>
  </sheetData>
  <phoneticPr fontId="6" type="noConversion"/>
  <dataValidations count="1">
    <dataValidation type="list" allowBlank="1" showInputMessage="1" showErrorMessage="1" sqref="C9 C24 C16:C17" xr:uid="{4D6ABA22-F15B-4C21-B2F1-C11391FDF9C9}">
      <formula1>#REF!</formula1>
    </dataValidation>
  </dataValidation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423E005-542C-4E0F-9033-7272F4254F10}">
          <x14:formula1>
            <xm:f>FertEvalChoices!$C$34:$C$37</xm:f>
          </x14:formula1>
          <xm:sqref>C12 C20</xm:sqref>
        </x14:dataValidation>
        <x14:dataValidation type="list" allowBlank="1" showInputMessage="1" showErrorMessage="1" xr:uid="{783C6647-4C06-4FDD-92EA-D9C321D0ABB1}">
          <x14:formula1>
            <xm:f>FertEvalChoices!$C$28:$C$31</xm:f>
          </x14:formula1>
          <xm:sqref>C14 C22</xm:sqref>
        </x14:dataValidation>
        <x14:dataValidation type="list" allowBlank="1" showInputMessage="1" showErrorMessage="1" xr:uid="{63F797E4-1699-46D3-BE78-663644B03580}">
          <x14:formula1>
            <xm:f>FertEvalChoices!$C$17:$C$18</xm:f>
          </x14:formula1>
          <xm:sqref>C21 C13</xm:sqref>
        </x14:dataValidation>
        <x14:dataValidation type="list" allowBlank="1" showInputMessage="1" showErrorMessage="1" xr:uid="{0AFB123E-949E-4F8C-A690-E79760B06AA7}">
          <x14:formula1>
            <xm:f>FertEvalChoices!$C$13:$C$14</xm:f>
          </x14:formula1>
          <xm:sqref>C19 C11</xm:sqref>
        </x14:dataValidation>
        <x14:dataValidation type="list" allowBlank="1" showInputMessage="1" showErrorMessage="1" error="Please enter a number between 0 and 5" xr:uid="{06037B76-E557-4430-AEF2-E5E1762C727B}">
          <x14:formula1>
            <xm:f>FertEvalChoices!$C$6:$C$11</xm:f>
          </x14:formula1>
          <xm:sqref>C18 C10</xm:sqref>
        </x14:dataValidation>
        <x14:dataValidation type="list" allowBlank="1" showInputMessage="1" showErrorMessage="1" promptTitle="please select" xr:uid="{D906C57B-7D06-4D65-9DFC-28E465A7D6F2}">
          <x14:formula1>
            <xm:f>'Cost estimate per treatment'!$C$9:$C$25</xm:f>
          </x14:formula1>
          <xm:sqref>C26:C45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98796-7A4D-480D-9B7F-4AE06B4573D9}">
  <sheetPr>
    <tabColor rgb="FF002060"/>
  </sheetPr>
  <dimension ref="A1:G42"/>
  <sheetViews>
    <sheetView zoomScale="70" zoomScaleNormal="70" workbookViewId="0">
      <selection activeCell="F35" sqref="F35"/>
    </sheetView>
  </sheetViews>
  <sheetFormatPr defaultColWidth="0" defaultRowHeight="16.5" zeroHeight="1"/>
  <cols>
    <col min="1" max="1" width="9" style="3" customWidth="1"/>
    <col min="2" max="2" width="36.5" style="3" bestFit="1" customWidth="1"/>
    <col min="3" max="3" width="46.5" style="3" customWidth="1"/>
    <col min="4" max="4" width="17" style="3" bestFit="1" customWidth="1"/>
    <col min="5" max="6" width="9" style="3" customWidth="1"/>
    <col min="7" max="7" width="0" hidden="1" customWidth="1"/>
    <col min="8" max="16384" width="9" hidden="1"/>
  </cols>
  <sheetData>
    <row r="1" spans="1:4"/>
    <row r="2" spans="1:4"/>
    <row r="3" spans="1:4"/>
    <row r="4" spans="1:4"/>
    <row r="5" spans="1:4"/>
    <row r="6" spans="1:4"/>
    <row r="7" spans="1:4" ht="18.75">
      <c r="A7" s="76"/>
      <c r="B7" s="76"/>
      <c r="C7" s="76"/>
      <c r="D7" s="76"/>
    </row>
    <row r="8" spans="1:4" ht="18.75">
      <c r="A8" s="76"/>
      <c r="B8" s="220" t="s">
        <v>415</v>
      </c>
      <c r="C8" s="220" t="s">
        <v>34</v>
      </c>
      <c r="D8" s="220" t="s">
        <v>318</v>
      </c>
    </row>
    <row r="9" spans="1:4" ht="18.75">
      <c r="A9" s="76"/>
      <c r="B9" s="80" t="s">
        <v>416</v>
      </c>
      <c r="C9" s="76" t="s">
        <v>391</v>
      </c>
      <c r="D9" s="225">
        <v>963</v>
      </c>
    </row>
    <row r="10" spans="1:4" ht="18.75">
      <c r="A10" s="76"/>
      <c r="B10" s="226"/>
      <c r="C10" s="76" t="s">
        <v>418</v>
      </c>
      <c r="D10" s="225">
        <v>221</v>
      </c>
    </row>
    <row r="11" spans="1:4" ht="18.75">
      <c r="B11" s="80" t="s">
        <v>218</v>
      </c>
      <c r="C11" s="76" t="s">
        <v>419</v>
      </c>
      <c r="D11" s="225">
        <v>854</v>
      </c>
    </row>
    <row r="12" spans="1:4" ht="18.75">
      <c r="B12" s="80"/>
      <c r="C12" s="76" t="s">
        <v>420</v>
      </c>
      <c r="D12" s="225">
        <v>518</v>
      </c>
    </row>
    <row r="13" spans="1:4" ht="18.75">
      <c r="B13" s="226"/>
      <c r="C13" s="76" t="s">
        <v>419</v>
      </c>
      <c r="D13" s="225">
        <v>854</v>
      </c>
    </row>
    <row r="14" spans="1:4" ht="18.75">
      <c r="B14" s="80" t="s">
        <v>417</v>
      </c>
      <c r="C14" s="76" t="s">
        <v>421</v>
      </c>
      <c r="D14" s="225">
        <v>2479</v>
      </c>
    </row>
    <row r="15" spans="1:4" ht="18.75">
      <c r="B15" s="80"/>
      <c r="C15" s="76" t="s">
        <v>422</v>
      </c>
      <c r="D15" s="225">
        <v>2595</v>
      </c>
    </row>
    <row r="16" spans="1:4" ht="18.75">
      <c r="B16" s="226"/>
      <c r="C16" s="76" t="s">
        <v>423</v>
      </c>
      <c r="D16" s="225">
        <v>2825</v>
      </c>
    </row>
    <row r="17" spans="2:4" ht="18.75">
      <c r="B17" s="226"/>
      <c r="C17" s="76" t="s">
        <v>424</v>
      </c>
      <c r="D17" s="225">
        <v>3010</v>
      </c>
    </row>
    <row r="18" spans="2:4" ht="18.75">
      <c r="B18" s="226"/>
      <c r="C18" s="76" t="s">
        <v>425</v>
      </c>
      <c r="D18" s="225">
        <v>3617</v>
      </c>
    </row>
    <row r="19" spans="2:4" ht="18.75">
      <c r="B19" s="226"/>
      <c r="C19" s="76" t="s">
        <v>426</v>
      </c>
      <c r="D19" s="225">
        <v>2740</v>
      </c>
    </row>
    <row r="20" spans="2:4" ht="18.75">
      <c r="B20" s="226"/>
      <c r="C20" s="76" t="s">
        <v>427</v>
      </c>
      <c r="D20" s="225">
        <v>3291</v>
      </c>
    </row>
    <row r="21" spans="2:4" ht="18.75">
      <c r="B21" s="226"/>
      <c r="C21" s="76" t="s">
        <v>428</v>
      </c>
      <c r="D21" s="225">
        <v>4089</v>
      </c>
    </row>
    <row r="22" spans="2:4" ht="18.75">
      <c r="B22" s="80" t="s">
        <v>430</v>
      </c>
      <c r="C22" s="76" t="s">
        <v>431</v>
      </c>
      <c r="D22" s="225">
        <v>940</v>
      </c>
    </row>
    <row r="23" spans="2:4" ht="18.75">
      <c r="B23" s="226"/>
      <c r="C23" s="76" t="s">
        <v>432</v>
      </c>
      <c r="D23" s="225">
        <v>1036</v>
      </c>
    </row>
    <row r="24" spans="2:4" ht="18.75">
      <c r="B24" s="80" t="s">
        <v>429</v>
      </c>
      <c r="C24" s="76" t="s">
        <v>429</v>
      </c>
      <c r="D24" s="225">
        <v>0</v>
      </c>
    </row>
    <row r="25" spans="2:4" ht="18.75">
      <c r="B25" s="226"/>
      <c r="C25" s="227" t="s">
        <v>433</v>
      </c>
      <c r="D25" s="228">
        <v>0</v>
      </c>
    </row>
    <row r="26" spans="2:4"/>
    <row r="27" spans="2:4"/>
    <row r="28" spans="2:4" ht="18.75">
      <c r="B28" s="220" t="s">
        <v>10</v>
      </c>
      <c r="C28" s="220" t="s">
        <v>126</v>
      </c>
      <c r="D28" s="220" t="s">
        <v>127</v>
      </c>
    </row>
    <row r="29" spans="2:4" ht="18.75">
      <c r="B29" s="76">
        <v>0</v>
      </c>
      <c r="C29" s="76" t="s">
        <v>128</v>
      </c>
      <c r="D29" s="229">
        <v>0.10876229929051531</v>
      </c>
    </row>
    <row r="30" spans="2:4" ht="18.75">
      <c r="B30" s="76">
        <v>1</v>
      </c>
      <c r="C30" s="76" t="s">
        <v>583</v>
      </c>
      <c r="D30" s="229">
        <v>1.9181249999999999</v>
      </c>
    </row>
    <row r="31" spans="2:4" ht="18.75">
      <c r="B31" s="76">
        <v>2</v>
      </c>
      <c r="C31" s="76" t="s">
        <v>121</v>
      </c>
      <c r="D31" s="229">
        <v>1.0766666666666667</v>
      </c>
    </row>
    <row r="32" spans="2:4" ht="18.75">
      <c r="B32" s="76">
        <v>3</v>
      </c>
      <c r="C32" s="76" t="s">
        <v>122</v>
      </c>
      <c r="D32" s="229">
        <v>0.83687500000000015</v>
      </c>
    </row>
    <row r="33" spans="2:4" ht="18.75">
      <c r="B33" s="76">
        <v>4</v>
      </c>
      <c r="C33" s="76" t="s">
        <v>584</v>
      </c>
      <c r="D33" s="229">
        <v>0.20695607131240837</v>
      </c>
    </row>
    <row r="34" spans="2:4" ht="18.75">
      <c r="B34" s="76">
        <v>5</v>
      </c>
      <c r="C34" s="76" t="s">
        <v>590</v>
      </c>
      <c r="D34" s="229">
        <v>3.3333333333333335</v>
      </c>
    </row>
    <row r="35" spans="2:4" ht="18.75">
      <c r="B35" s="76">
        <v>6</v>
      </c>
      <c r="C35" s="76" t="s">
        <v>585</v>
      </c>
      <c r="D35" s="229">
        <v>2.0870610119047619</v>
      </c>
    </row>
    <row r="36" spans="2:4" ht="18.75">
      <c r="B36" s="76">
        <v>7</v>
      </c>
      <c r="C36" s="76" t="s">
        <v>586</v>
      </c>
      <c r="D36" s="229">
        <v>0.44630214695296783</v>
      </c>
    </row>
    <row r="37" spans="2:4" ht="18.75">
      <c r="B37" s="76">
        <v>8</v>
      </c>
      <c r="C37" s="76" t="s">
        <v>587</v>
      </c>
      <c r="D37" s="229">
        <v>1.8452762904101745</v>
      </c>
    </row>
    <row r="38" spans="2:4" ht="18.75">
      <c r="B38" s="76">
        <v>9</v>
      </c>
      <c r="C38" s="76" t="s">
        <v>588</v>
      </c>
      <c r="D38" s="229">
        <v>1.2050546212121214</v>
      </c>
    </row>
    <row r="39" spans="2:4" ht="18.75">
      <c r="B39" s="76">
        <v>10</v>
      </c>
      <c r="C39" s="76" t="s">
        <v>589</v>
      </c>
      <c r="D39" s="229">
        <v>0.93812583838383845</v>
      </c>
    </row>
    <row r="40" spans="2:4" ht="18.75">
      <c r="B40" s="76">
        <v>11</v>
      </c>
      <c r="C40" s="76" t="s">
        <v>146</v>
      </c>
      <c r="D40" s="229">
        <v>2.0888194444444443</v>
      </c>
    </row>
    <row r="41" spans="2:4" ht="18.75">
      <c r="B41" s="76">
        <v>12</v>
      </c>
      <c r="C41" s="76" t="s">
        <v>582</v>
      </c>
      <c r="D41" s="229">
        <v>3.1931250000000002</v>
      </c>
    </row>
    <row r="42" spans="2:4"/>
  </sheetData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76E0A-A865-458A-93EF-C8E0070AEC00}">
  <sheetPr>
    <tabColor rgb="FF002060"/>
  </sheetPr>
  <dimension ref="A1:BU1753"/>
  <sheetViews>
    <sheetView zoomScale="40" zoomScaleNormal="40" workbookViewId="0">
      <pane ySplit="1" topLeftCell="A2" activePane="bottomLeft" state="frozen"/>
      <selection pane="bottomLeft" activeCell="AO16" sqref="AO16"/>
    </sheetView>
  </sheetViews>
  <sheetFormatPr defaultColWidth="0" defaultRowHeight="16.5" zeroHeight="1"/>
  <cols>
    <col min="1" max="1" width="15.375" style="100" bestFit="1" customWidth="1"/>
    <col min="2" max="2" width="12.5" style="100" customWidth="1"/>
    <col min="3" max="3" width="6.875" style="267" customWidth="1"/>
    <col min="4" max="4" width="87.875" style="100" customWidth="1"/>
    <col min="5" max="5" width="34.875" style="100" customWidth="1"/>
    <col min="6" max="6" width="5.625" style="94" customWidth="1"/>
    <col min="7" max="7" width="6.5" style="268" customWidth="1"/>
    <col min="8" max="8" width="6.25" style="100" customWidth="1"/>
    <col min="9" max="9" width="9" style="100" customWidth="1"/>
    <col min="10" max="10" width="8" style="100" customWidth="1"/>
    <col min="11" max="11" width="6.25" style="100" customWidth="1"/>
    <col min="12" max="13" width="6.5" style="100" customWidth="1"/>
    <col min="14" max="14" width="5.25" style="100" customWidth="1"/>
    <col min="15" max="15" width="5" style="100" customWidth="1"/>
    <col min="16" max="16" width="5.5" style="100" customWidth="1"/>
    <col min="17" max="17" width="5.125" style="100" customWidth="1"/>
    <col min="18" max="18" width="4.125" style="100" customWidth="1"/>
    <col min="19" max="19" width="3" style="100" customWidth="1"/>
    <col min="20" max="20" width="8.125" style="11" customWidth="1"/>
    <col min="21" max="21" width="6.25" style="11" customWidth="1"/>
    <col min="22" max="22" width="11.75" style="11" bestFit="1" customWidth="1"/>
    <col min="23" max="34" width="11.75" style="100" bestFit="1" customWidth="1"/>
    <col min="35" max="35" width="9.875" style="100" customWidth="1"/>
    <col min="36" max="36" width="9.375" style="100" customWidth="1"/>
    <col min="37" max="37" width="13.875" style="100" customWidth="1"/>
    <col min="38" max="38" width="19.75" style="100" customWidth="1"/>
    <col min="39" max="39" width="12.625" style="100" customWidth="1"/>
    <col min="40" max="40" width="8.625" style="100" customWidth="1"/>
    <col min="41" max="41" width="64.875" style="100" customWidth="1"/>
    <col min="42" max="42" width="14.875" style="100" customWidth="1"/>
    <col min="43" max="43" width="36.5" style="100" customWidth="1"/>
    <col min="44" max="44" width="8.375" style="100" customWidth="1"/>
    <col min="45" max="45" width="2.875" style="121" customWidth="1"/>
    <col min="46" max="46" width="40.875" hidden="1" customWidth="1"/>
    <col min="47" max="47" width="37.5" hidden="1" customWidth="1"/>
    <col min="48" max="48" width="4.25" hidden="1" customWidth="1"/>
    <col min="49" max="49" width="10.625" hidden="1" customWidth="1"/>
    <col min="50" max="50" width="44.5" hidden="1" customWidth="1"/>
    <col min="51" max="51" width="23.75" hidden="1" customWidth="1"/>
    <col min="52" max="52" width="24" hidden="1" customWidth="1"/>
    <col min="53" max="53" width="22.125" hidden="1" customWidth="1"/>
    <col min="54" max="54" width="23" hidden="1" customWidth="1"/>
    <col min="55" max="55" width="21.875" hidden="1" customWidth="1"/>
    <col min="56" max="56" width="25.375" hidden="1" customWidth="1"/>
    <col min="57" max="57" width="12.625" hidden="1" customWidth="1"/>
    <col min="58" max="58" width="20.375" hidden="1" customWidth="1"/>
    <col min="59" max="59" width="24.125" hidden="1" customWidth="1"/>
    <col min="60" max="60" width="15.625" hidden="1" customWidth="1"/>
    <col min="61" max="61" width="39.5" style="1" hidden="1" customWidth="1"/>
    <col min="62" max="62" width="8.375" style="1" hidden="1" customWidth="1"/>
    <col min="63" max="63" width="10.125" style="1" hidden="1" customWidth="1"/>
    <col min="64" max="64" width="14.125" style="1" hidden="1" customWidth="1"/>
    <col min="65" max="65" width="10" style="1" hidden="1" customWidth="1"/>
    <col min="66" max="73" width="0" style="1" hidden="1" customWidth="1"/>
    <col min="74" max="16384" width="8.625" style="1" hidden="1"/>
  </cols>
  <sheetData>
    <row r="1" spans="1:73" s="120" customFormat="1" ht="219" customHeight="1" thickBot="1">
      <c r="A1" s="235" t="s">
        <v>435</v>
      </c>
      <c r="B1" s="235" t="s">
        <v>248</v>
      </c>
      <c r="C1" s="235" t="s">
        <v>10</v>
      </c>
      <c r="D1" s="235" t="s">
        <v>74</v>
      </c>
      <c r="E1" s="236" t="s">
        <v>442</v>
      </c>
      <c r="F1" s="237" t="s">
        <v>48</v>
      </c>
      <c r="G1" s="238" t="s">
        <v>444</v>
      </c>
      <c r="H1" s="238" t="s">
        <v>133</v>
      </c>
      <c r="I1" s="238" t="s">
        <v>110</v>
      </c>
      <c r="J1" s="238" t="s">
        <v>112</v>
      </c>
      <c r="K1" s="238" t="s">
        <v>111</v>
      </c>
      <c r="L1" s="238" t="s">
        <v>113</v>
      </c>
      <c r="M1" s="238" t="s">
        <v>114</v>
      </c>
      <c r="N1" s="238" t="s">
        <v>115</v>
      </c>
      <c r="O1" s="238" t="s">
        <v>116</v>
      </c>
      <c r="P1" s="238" t="s">
        <v>117</v>
      </c>
      <c r="Q1" s="238" t="s">
        <v>118</v>
      </c>
      <c r="R1" s="238" t="s">
        <v>119</v>
      </c>
      <c r="S1" s="238" t="s">
        <v>43</v>
      </c>
      <c r="T1" s="239" t="s">
        <v>120</v>
      </c>
      <c r="U1" s="239"/>
      <c r="V1" s="262" t="s">
        <v>269</v>
      </c>
      <c r="W1" s="263" t="s">
        <v>124</v>
      </c>
      <c r="X1" s="264" t="s">
        <v>270</v>
      </c>
      <c r="Y1" s="263" t="s">
        <v>122</v>
      </c>
      <c r="Z1" s="264" t="s">
        <v>271</v>
      </c>
      <c r="AA1" s="263" t="s">
        <v>123</v>
      </c>
      <c r="AB1" s="264" t="s">
        <v>272</v>
      </c>
      <c r="AC1" s="263" t="s">
        <v>273</v>
      </c>
      <c r="AD1" s="264" t="s">
        <v>274</v>
      </c>
      <c r="AE1" s="263" t="s">
        <v>275</v>
      </c>
      <c r="AF1" s="264" t="s">
        <v>276</v>
      </c>
      <c r="AG1" s="263" t="s">
        <v>146</v>
      </c>
      <c r="AH1" s="264" t="s">
        <v>277</v>
      </c>
      <c r="AI1" s="263" t="s">
        <v>155</v>
      </c>
      <c r="AJ1" s="263" t="s">
        <v>226</v>
      </c>
      <c r="AK1" s="263" t="s">
        <v>130</v>
      </c>
      <c r="AL1" s="263" t="s">
        <v>467</v>
      </c>
      <c r="AM1" s="116"/>
      <c r="AN1" s="116"/>
      <c r="AO1" s="116"/>
      <c r="AS1" s="121"/>
      <c r="AT1" s="289" t="s">
        <v>363</v>
      </c>
      <c r="AU1" s="289"/>
      <c r="AV1" s="121"/>
      <c r="AW1" s="121"/>
      <c r="AX1" s="244" t="s">
        <v>375</v>
      </c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</row>
    <row r="2" spans="1:73" ht="25.5" customHeight="1" thickBot="1">
      <c r="A2" s="108"/>
      <c r="B2" s="108"/>
      <c r="C2" s="108"/>
      <c r="D2" s="108"/>
      <c r="E2" s="108"/>
      <c r="F2" s="109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1"/>
      <c r="U2" s="112"/>
      <c r="V2" s="240" t="s">
        <v>466</v>
      </c>
      <c r="W2" s="241"/>
      <c r="X2" s="114"/>
      <c r="Y2" s="113"/>
      <c r="Z2" s="114"/>
      <c r="AA2" s="113"/>
      <c r="AB2" s="114"/>
      <c r="AC2" s="113"/>
      <c r="AD2" s="114"/>
      <c r="AE2" s="113"/>
      <c r="AF2" s="114"/>
      <c r="AG2" s="113"/>
      <c r="AH2" s="114"/>
      <c r="AI2" s="113"/>
      <c r="AJ2" s="113"/>
      <c r="AK2" s="113"/>
      <c r="AL2" s="115"/>
      <c r="AM2" s="11"/>
      <c r="AN2" s="116"/>
      <c r="AO2" s="11"/>
      <c r="AT2" s="78"/>
      <c r="AU2" s="78"/>
      <c r="AX2" s="52"/>
      <c r="BI2"/>
      <c r="BJ2"/>
      <c r="BK2"/>
      <c r="BL2"/>
      <c r="BM2"/>
      <c r="BN2"/>
      <c r="BO2"/>
      <c r="BP2"/>
      <c r="BQ2"/>
      <c r="BR2"/>
      <c r="BS2"/>
      <c r="BT2"/>
      <c r="BU2"/>
    </row>
    <row r="3" spans="1:73" ht="33" customHeight="1" thickBot="1">
      <c r="A3" s="92"/>
      <c r="B3" s="92"/>
      <c r="C3" s="93"/>
      <c r="D3" s="92"/>
      <c r="E3" s="92"/>
      <c r="G3" s="95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135"/>
      <c r="T3" s="136"/>
      <c r="U3" s="137"/>
      <c r="V3" s="146">
        <f>rate0</f>
        <v>0.10876229929051531</v>
      </c>
      <c r="W3" s="147">
        <f>rate1</f>
        <v>1.9181249999999999</v>
      </c>
      <c r="X3" s="147">
        <f>rate2</f>
        <v>1.0766666666666667</v>
      </c>
      <c r="Y3" s="147">
        <f>rate3</f>
        <v>0.83687500000000015</v>
      </c>
      <c r="Z3" s="147">
        <f>rate4</f>
        <v>0.20695607131240837</v>
      </c>
      <c r="AA3" s="147">
        <f>rate5</f>
        <v>3.3333333333333335</v>
      </c>
      <c r="AB3" s="147">
        <f>rate6</f>
        <v>2.0870610119047619</v>
      </c>
      <c r="AC3" s="147">
        <f>rate7</f>
        <v>0.44630214695296783</v>
      </c>
      <c r="AD3" s="147">
        <f>rate8</f>
        <v>1.8452762904101745</v>
      </c>
      <c r="AE3" s="147">
        <f>rate9</f>
        <v>1.2050546212121214</v>
      </c>
      <c r="AF3" s="147">
        <f>rate10</f>
        <v>0.93812583838383845</v>
      </c>
      <c r="AG3" s="147">
        <f>rate11</f>
        <v>2.0888194444444443</v>
      </c>
      <c r="AH3" s="148">
        <f>rate12</f>
        <v>3.1931250000000002</v>
      </c>
      <c r="AI3" s="99"/>
      <c r="AJ3" s="99"/>
      <c r="AK3" s="99"/>
      <c r="AL3" s="99"/>
      <c r="AN3" s="120"/>
      <c r="AO3" s="11"/>
      <c r="AP3" s="11"/>
      <c r="AQ3" s="11"/>
      <c r="AT3" s="38" t="s">
        <v>194</v>
      </c>
      <c r="AU3" s="39" t="s">
        <v>362</v>
      </c>
      <c r="AX3" s="53" t="s">
        <v>194</v>
      </c>
      <c r="AY3" s="54" t="s">
        <v>195</v>
      </c>
      <c r="AZ3" s="54" t="s">
        <v>24</v>
      </c>
      <c r="BA3" s="54" t="s">
        <v>24</v>
      </c>
      <c r="BB3" s="54" t="s">
        <v>196</v>
      </c>
      <c r="BC3" s="54" t="s">
        <v>196</v>
      </c>
      <c r="BD3" s="54" t="s">
        <v>174</v>
      </c>
      <c r="BE3" s="54" t="s">
        <v>174</v>
      </c>
      <c r="BF3" s="54" t="s">
        <v>174</v>
      </c>
      <c r="BG3" s="54" t="s">
        <v>174</v>
      </c>
      <c r="BH3" s="54" t="s">
        <v>174</v>
      </c>
      <c r="BI3" s="54" t="s">
        <v>174</v>
      </c>
      <c r="BJ3"/>
      <c r="BK3"/>
      <c r="BL3"/>
      <c r="BM3"/>
      <c r="BN3"/>
      <c r="BO3"/>
      <c r="BP3"/>
      <c r="BQ3"/>
      <c r="BR3"/>
      <c r="BS3"/>
      <c r="BT3"/>
      <c r="BU3"/>
    </row>
    <row r="4" spans="1:73" ht="19.5" customHeight="1" thickBot="1">
      <c r="A4" s="92"/>
      <c r="B4" s="92"/>
      <c r="C4" s="93"/>
      <c r="D4" s="240" t="s">
        <v>74</v>
      </c>
      <c r="E4" s="92"/>
      <c r="G4" s="95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7"/>
      <c r="T4" s="98"/>
      <c r="U4" s="107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99"/>
      <c r="AJ4" s="99"/>
      <c r="AK4" s="99"/>
      <c r="AL4" s="138" t="s">
        <v>465</v>
      </c>
      <c r="AN4" s="120"/>
      <c r="AO4" s="240" t="s">
        <v>451</v>
      </c>
      <c r="AP4" s="240" t="s">
        <v>49</v>
      </c>
      <c r="AQ4" s="240" t="s">
        <v>452</v>
      </c>
      <c r="AT4" s="129"/>
      <c r="AU4" s="130"/>
      <c r="AX4" s="131"/>
      <c r="AY4" s="132"/>
      <c r="AZ4" s="132"/>
      <c r="BA4" s="132"/>
      <c r="BB4" s="132"/>
      <c r="BC4" s="132"/>
      <c r="BD4" s="132"/>
      <c r="BE4" s="132"/>
      <c r="BF4" s="133"/>
      <c r="BG4" s="132"/>
      <c r="BH4" s="133"/>
      <c r="BI4" s="133"/>
      <c r="BJ4"/>
      <c r="BK4"/>
      <c r="BL4"/>
      <c r="BM4"/>
      <c r="BN4"/>
      <c r="BO4"/>
      <c r="BP4"/>
      <c r="BQ4"/>
      <c r="BR4"/>
      <c r="BS4"/>
      <c r="BT4"/>
      <c r="BU4"/>
    </row>
    <row r="5" spans="1:73" ht="22.5" customHeight="1">
      <c r="A5" s="103"/>
      <c r="B5" s="302" t="s">
        <v>443</v>
      </c>
      <c r="C5" s="82">
        <v>1</v>
      </c>
      <c r="D5" s="83" t="s">
        <v>436</v>
      </c>
      <c r="E5" s="88" t="s">
        <v>266</v>
      </c>
      <c r="F5" s="83">
        <v>1</v>
      </c>
      <c r="G5" s="83">
        <v>30</v>
      </c>
      <c r="H5" s="83">
        <v>40</v>
      </c>
      <c r="I5" s="83">
        <v>0</v>
      </c>
      <c r="J5" s="83">
        <v>0</v>
      </c>
      <c r="K5" s="83">
        <v>0</v>
      </c>
      <c r="L5" s="83">
        <v>0</v>
      </c>
      <c r="M5" s="83">
        <v>0</v>
      </c>
      <c r="N5" s="83">
        <v>0</v>
      </c>
      <c r="O5" s="83">
        <v>0</v>
      </c>
      <c r="P5" s="83">
        <v>0</v>
      </c>
      <c r="Q5" s="83">
        <v>0</v>
      </c>
      <c r="R5" s="83">
        <v>0</v>
      </c>
      <c r="S5" s="83">
        <v>0</v>
      </c>
      <c r="T5" s="83">
        <f>SUM(H5:S5)*F5</f>
        <v>40</v>
      </c>
      <c r="U5" s="90"/>
      <c r="V5" s="88">
        <f>T5*$V$3*F5</f>
        <v>4.3504919716206123</v>
      </c>
      <c r="W5" s="88">
        <f>H5*$W$3*F5</f>
        <v>76.724999999999994</v>
      </c>
      <c r="X5" s="88">
        <f>I5*$X$3*F5</f>
        <v>0</v>
      </c>
      <c r="Y5" s="88">
        <f>J5*$Y$3*F5</f>
        <v>0</v>
      </c>
      <c r="Z5" s="88">
        <f>IF(ISNUMBER(SEARCH("CCR4", E5)),(T5-K5)*$Z$3, 0)</f>
        <v>8.2782428524963354</v>
      </c>
      <c r="AA5" s="88">
        <f>L5*$AA$3*F5</f>
        <v>0</v>
      </c>
      <c r="AB5" s="88">
        <f>K5*$AB$3*F5</f>
        <v>0</v>
      </c>
      <c r="AC5" s="88">
        <f>(IF(ISNUMBER(SEARCH("CCR7", E5)),K5*$AC$3, 0))*F5</f>
        <v>0</v>
      </c>
      <c r="AD5" s="88">
        <f>(IF(ISNUMBER(SEARCH("CCR8", E5)),K5*$AD$3, 0))*F5</f>
        <v>0</v>
      </c>
      <c r="AE5" s="88">
        <f>IF(ISNUMBER(SEARCH("CCR9", E5)),K5*$AE$3*F5, 0)</f>
        <v>0</v>
      </c>
      <c r="AF5" s="88">
        <f>(IF(ISNUMBER(SEARCH("CCR10", E5)),K5*$AF$3, 0))*F5</f>
        <v>0</v>
      </c>
      <c r="AG5" s="88">
        <f>(IF(ISNUMBER(SEARCH("CCR11", E5)),T5*$AG$3, 0))*F5</f>
        <v>0</v>
      </c>
      <c r="AH5" s="88">
        <f>(IF(ISNUMBER(SEARCH("CCR12", E5)),T5*$AH$3, 0))*F5</f>
        <v>0</v>
      </c>
      <c r="AI5" s="88">
        <v>0</v>
      </c>
      <c r="AJ5" s="88"/>
      <c r="AK5" s="88">
        <v>0</v>
      </c>
      <c r="AL5" s="144">
        <f>SUM(V5:AK5)</f>
        <v>89.353734824116941</v>
      </c>
      <c r="AN5" s="301"/>
      <c r="AO5" s="202" t="s">
        <v>47</v>
      </c>
      <c r="AP5" s="139" t="s">
        <v>18</v>
      </c>
      <c r="AQ5" s="141" t="s">
        <v>45</v>
      </c>
      <c r="AR5" s="301"/>
      <c r="AT5" s="299" t="s">
        <v>278</v>
      </c>
      <c r="AU5" s="299" t="s">
        <v>308</v>
      </c>
      <c r="AX5" s="290" t="s">
        <v>278</v>
      </c>
      <c r="AY5" s="55"/>
      <c r="AZ5" s="56" t="s">
        <v>219</v>
      </c>
      <c r="BA5" s="56" t="s">
        <v>220</v>
      </c>
      <c r="BB5" s="56" t="s">
        <v>197</v>
      </c>
      <c r="BC5" s="56" t="s">
        <v>221</v>
      </c>
      <c r="BD5" s="56" t="s">
        <v>283</v>
      </c>
      <c r="BE5" s="56" t="s">
        <v>174</v>
      </c>
      <c r="BF5" s="57" t="s">
        <v>376</v>
      </c>
      <c r="BG5" s="56" t="s">
        <v>62</v>
      </c>
      <c r="BH5" s="58" t="s">
        <v>22</v>
      </c>
      <c r="BI5" s="58" t="s">
        <v>22</v>
      </c>
      <c r="BJ5"/>
      <c r="BK5"/>
      <c r="BL5"/>
      <c r="BM5"/>
      <c r="BN5"/>
      <c r="BO5"/>
      <c r="BP5"/>
      <c r="BQ5"/>
      <c r="BR5"/>
      <c r="BS5"/>
      <c r="BT5"/>
      <c r="BU5"/>
    </row>
    <row r="6" spans="1:73" ht="27" customHeight="1" thickBot="1">
      <c r="A6" s="103"/>
      <c r="B6" s="303"/>
      <c r="C6" s="84">
        <v>2</v>
      </c>
      <c r="D6" s="85" t="s">
        <v>437</v>
      </c>
      <c r="E6" s="89" t="s">
        <v>52</v>
      </c>
      <c r="F6" s="85">
        <v>1</v>
      </c>
      <c r="G6" s="85">
        <v>30</v>
      </c>
      <c r="H6" s="85">
        <v>0</v>
      </c>
      <c r="I6" s="85">
        <v>0</v>
      </c>
      <c r="J6" s="85">
        <v>40</v>
      </c>
      <c r="K6" s="85">
        <v>0</v>
      </c>
      <c r="L6" s="85">
        <v>0</v>
      </c>
      <c r="M6" s="85">
        <v>0</v>
      </c>
      <c r="N6" s="85">
        <v>0</v>
      </c>
      <c r="O6" s="85">
        <v>0</v>
      </c>
      <c r="P6" s="85">
        <v>0</v>
      </c>
      <c r="Q6" s="85">
        <v>0</v>
      </c>
      <c r="R6" s="85">
        <v>0</v>
      </c>
      <c r="S6" s="85">
        <v>0</v>
      </c>
      <c r="T6" s="85">
        <f t="shared" ref="T6:T81" si="0">SUM(H6:S6)*F6</f>
        <v>40</v>
      </c>
      <c r="U6" s="91"/>
      <c r="V6" s="89">
        <f t="shared" ref="V6:V81" si="1">T6*$V$3*F6</f>
        <v>4.3504919716206123</v>
      </c>
      <c r="W6" s="89">
        <f t="shared" ref="W6:W73" si="2">H6*$W$3*F6</f>
        <v>0</v>
      </c>
      <c r="X6" s="89">
        <f t="shared" ref="X6:X81" si="3">I6*$X$3*F6</f>
        <v>0</v>
      </c>
      <c r="Y6" s="89">
        <f>J6*$Y$3*F6</f>
        <v>33.475000000000009</v>
      </c>
      <c r="Z6" s="89">
        <f>IF(ISNUMBER(SEARCH("CCR4", E6)),(T6-K6)*$Z$3, 0)</f>
        <v>0</v>
      </c>
      <c r="AA6" s="89">
        <f t="shared" ref="AA6:AA81" si="4">L6*$AA$3*F6</f>
        <v>0</v>
      </c>
      <c r="AB6" s="89">
        <f>K6*$AB$3*F6</f>
        <v>0</v>
      </c>
      <c r="AC6" s="89">
        <f t="shared" ref="AC6:AC81" si="5">(IF(ISNUMBER(SEARCH("CCR7", E6)),K6*$AC$3, 0))*F6</f>
        <v>0</v>
      </c>
      <c r="AD6" s="89">
        <f t="shared" ref="AD6:AD81" si="6">(IF(ISNUMBER(SEARCH("CCR8", E6)),K6*$AD$3, 0))*F6</f>
        <v>0</v>
      </c>
      <c r="AE6" s="89">
        <f t="shared" ref="AE6:AE81" si="7">IF(ISNUMBER(SEARCH("CCR9", E6)),K6*$AE$3*F6, 0)</f>
        <v>0</v>
      </c>
      <c r="AF6" s="89">
        <f t="shared" ref="AF6:AF81" si="8">(IF(ISNUMBER(SEARCH("CCR10", E6)),K6*$AF$3, 0))*F6</f>
        <v>0</v>
      </c>
      <c r="AG6" s="89">
        <f t="shared" ref="AG6:AG81" si="9">IF(ISNUMBER(SEARCH("CCR11", E6)),T6*$AG$3, 0)</f>
        <v>0</v>
      </c>
      <c r="AH6" s="89">
        <f t="shared" ref="AH6:AH81" si="10">(IF(ISNUMBER(SEARCH("CCR12", E6)),T6*$AH$3, 0))*F6</f>
        <v>0</v>
      </c>
      <c r="AI6" s="89">
        <v>0</v>
      </c>
      <c r="AJ6" s="89"/>
      <c r="AK6" s="89">
        <v>0</v>
      </c>
      <c r="AL6" s="145">
        <f t="shared" ref="AL6:AL16" si="11">SUM(V6:AK6)</f>
        <v>37.825491971620622</v>
      </c>
      <c r="AN6" s="301"/>
      <c r="AO6" s="192" t="s">
        <v>46</v>
      </c>
      <c r="AP6" s="140" t="s">
        <v>18</v>
      </c>
      <c r="AQ6" s="142" t="s">
        <v>45</v>
      </c>
      <c r="AR6" s="301"/>
      <c r="AT6" s="300"/>
      <c r="AU6" s="300"/>
      <c r="AX6" s="291"/>
      <c r="AY6" s="59"/>
      <c r="AZ6" s="60"/>
      <c r="BA6" s="60"/>
      <c r="BB6" s="60"/>
      <c r="BC6" s="60"/>
      <c r="BD6" s="60" t="s">
        <v>284</v>
      </c>
      <c r="BE6" s="60"/>
      <c r="BF6" s="61" t="s">
        <v>377</v>
      </c>
      <c r="BG6" s="60"/>
      <c r="BH6" s="60" t="s">
        <v>219</v>
      </c>
      <c r="BI6" s="60" t="s">
        <v>220</v>
      </c>
      <c r="BJ6"/>
      <c r="BK6"/>
      <c r="BL6"/>
      <c r="BM6"/>
      <c r="BN6"/>
      <c r="BO6"/>
      <c r="BP6"/>
      <c r="BQ6"/>
      <c r="BR6"/>
      <c r="BS6"/>
      <c r="BT6"/>
      <c r="BU6"/>
    </row>
    <row r="7" spans="1:73" ht="21.75" customHeight="1" thickBot="1">
      <c r="A7" s="103"/>
      <c r="B7" s="303"/>
      <c r="C7" s="84">
        <v>3</v>
      </c>
      <c r="D7" s="85" t="s">
        <v>438</v>
      </c>
      <c r="E7" s="89" t="s">
        <v>52</v>
      </c>
      <c r="F7" s="85">
        <v>1</v>
      </c>
      <c r="G7" s="85">
        <v>10</v>
      </c>
      <c r="H7" s="85">
        <v>0</v>
      </c>
      <c r="I7" s="85">
        <v>0</v>
      </c>
      <c r="J7" s="85">
        <v>20</v>
      </c>
      <c r="K7" s="85">
        <v>0</v>
      </c>
      <c r="L7" s="85">
        <v>0</v>
      </c>
      <c r="M7" s="85">
        <v>0</v>
      </c>
      <c r="N7" s="85">
        <v>0</v>
      </c>
      <c r="O7" s="85">
        <v>0</v>
      </c>
      <c r="P7" s="85">
        <v>0</v>
      </c>
      <c r="Q7" s="85">
        <v>0</v>
      </c>
      <c r="R7" s="85">
        <v>0</v>
      </c>
      <c r="S7" s="85">
        <v>0</v>
      </c>
      <c r="T7" s="85">
        <f t="shared" si="0"/>
        <v>20</v>
      </c>
      <c r="U7" s="91"/>
      <c r="V7" s="89">
        <f t="shared" si="1"/>
        <v>2.1752459858103061</v>
      </c>
      <c r="W7" s="89">
        <f t="shared" si="2"/>
        <v>0</v>
      </c>
      <c r="X7" s="89">
        <f t="shared" si="3"/>
        <v>0</v>
      </c>
      <c r="Y7" s="89">
        <f t="shared" ref="Y7:Y82" si="12">J7*$Y$3*F7</f>
        <v>16.737500000000004</v>
      </c>
      <c r="Z7" s="89">
        <f t="shared" ref="Z7:Z72" si="13">IF(ISNUMBER(SEARCH("CCR4", E7)),(T7-K7)*$Z$3, 0)</f>
        <v>0</v>
      </c>
      <c r="AA7" s="89">
        <f t="shared" si="4"/>
        <v>0</v>
      </c>
      <c r="AB7" s="89">
        <f t="shared" ref="AB7:AB72" si="14">K7*$AB$3*F7</f>
        <v>0</v>
      </c>
      <c r="AC7" s="89">
        <f t="shared" si="5"/>
        <v>0</v>
      </c>
      <c r="AD7" s="89">
        <f t="shared" si="6"/>
        <v>0</v>
      </c>
      <c r="AE7" s="89">
        <f t="shared" si="7"/>
        <v>0</v>
      </c>
      <c r="AF7" s="89">
        <f t="shared" si="8"/>
        <v>0</v>
      </c>
      <c r="AG7" s="89">
        <f t="shared" si="9"/>
        <v>0</v>
      </c>
      <c r="AH7" s="89">
        <f t="shared" si="10"/>
        <v>0</v>
      </c>
      <c r="AI7" s="89">
        <v>0</v>
      </c>
      <c r="AJ7" s="89"/>
      <c r="AK7" s="89">
        <v>0</v>
      </c>
      <c r="AL7" s="145">
        <f t="shared" si="11"/>
        <v>18.912745985810311</v>
      </c>
      <c r="AN7" s="301"/>
      <c r="AO7" s="192" t="s">
        <v>453</v>
      </c>
      <c r="AP7" s="140">
        <v>0</v>
      </c>
      <c r="AQ7" s="142" t="s">
        <v>83</v>
      </c>
      <c r="AR7" s="301"/>
      <c r="AT7" s="42" t="s">
        <v>199</v>
      </c>
      <c r="AU7" s="43"/>
      <c r="AX7" s="62" t="s">
        <v>199</v>
      </c>
      <c r="AY7" s="60" t="s">
        <v>195</v>
      </c>
      <c r="AZ7" s="60" t="s">
        <v>385</v>
      </c>
      <c r="BA7" s="60" t="s">
        <v>280</v>
      </c>
      <c r="BB7" s="60" t="s">
        <v>386</v>
      </c>
      <c r="BC7" s="60" t="s">
        <v>387</v>
      </c>
      <c r="BD7" s="60" t="s">
        <v>388</v>
      </c>
      <c r="BE7" s="60" t="s">
        <v>174</v>
      </c>
      <c r="BF7" s="60" t="s">
        <v>389</v>
      </c>
      <c r="BG7" s="60" t="s">
        <v>62</v>
      </c>
      <c r="BH7" s="60" t="s">
        <v>390</v>
      </c>
      <c r="BI7" s="60" t="s">
        <v>380</v>
      </c>
      <c r="BJ7"/>
      <c r="BK7"/>
      <c r="BL7"/>
      <c r="BM7"/>
      <c r="BN7"/>
      <c r="BO7"/>
      <c r="BP7"/>
      <c r="BQ7"/>
      <c r="BR7"/>
      <c r="BS7"/>
      <c r="BT7"/>
      <c r="BU7"/>
    </row>
    <row r="8" spans="1:73" ht="20.25">
      <c r="A8" s="103"/>
      <c r="B8" s="303"/>
      <c r="C8" s="84">
        <v>4</v>
      </c>
      <c r="D8" s="85" t="s">
        <v>439</v>
      </c>
      <c r="E8" s="89" t="s">
        <v>52</v>
      </c>
      <c r="F8" s="85">
        <v>1</v>
      </c>
      <c r="G8" s="85">
        <v>30</v>
      </c>
      <c r="H8" s="85">
        <v>0</v>
      </c>
      <c r="I8" s="85">
        <v>0</v>
      </c>
      <c r="J8" s="85">
        <v>0</v>
      </c>
      <c r="K8" s="85">
        <v>0</v>
      </c>
      <c r="L8" s="85">
        <v>0</v>
      </c>
      <c r="M8" s="85">
        <v>0</v>
      </c>
      <c r="N8" s="85">
        <v>0</v>
      </c>
      <c r="O8" s="85">
        <v>0</v>
      </c>
      <c r="P8" s="85">
        <v>0</v>
      </c>
      <c r="Q8" s="85">
        <v>0</v>
      </c>
      <c r="R8" s="85">
        <v>0</v>
      </c>
      <c r="S8" s="85">
        <v>0</v>
      </c>
      <c r="T8" s="85">
        <f t="shared" si="0"/>
        <v>0</v>
      </c>
      <c r="U8" s="91"/>
      <c r="V8" s="89">
        <f t="shared" si="1"/>
        <v>0</v>
      </c>
      <c r="W8" s="89">
        <f t="shared" si="2"/>
        <v>0</v>
      </c>
      <c r="X8" s="89">
        <f t="shared" si="3"/>
        <v>0</v>
      </c>
      <c r="Y8" s="89">
        <f t="shared" si="12"/>
        <v>0</v>
      </c>
      <c r="Z8" s="89">
        <f t="shared" si="13"/>
        <v>0</v>
      </c>
      <c r="AA8" s="89">
        <f t="shared" si="4"/>
        <v>0</v>
      </c>
      <c r="AB8" s="89">
        <f t="shared" si="14"/>
        <v>0</v>
      </c>
      <c r="AC8" s="89">
        <f t="shared" si="5"/>
        <v>0</v>
      </c>
      <c r="AD8" s="89">
        <f t="shared" si="6"/>
        <v>0</v>
      </c>
      <c r="AE8" s="89">
        <f t="shared" si="7"/>
        <v>0</v>
      </c>
      <c r="AF8" s="89">
        <f t="shared" si="8"/>
        <v>0</v>
      </c>
      <c r="AG8" s="89">
        <f t="shared" si="9"/>
        <v>0</v>
      </c>
      <c r="AH8" s="89">
        <f t="shared" si="10"/>
        <v>0</v>
      </c>
      <c r="AI8" s="89">
        <v>0</v>
      </c>
      <c r="AJ8" s="89"/>
      <c r="AK8" s="89">
        <f>inputs!$E$38*F8</f>
        <v>110.64</v>
      </c>
      <c r="AL8" s="145">
        <f t="shared" si="11"/>
        <v>110.64</v>
      </c>
      <c r="AM8" s="101"/>
      <c r="AN8" s="301"/>
      <c r="AO8" s="192" t="s">
        <v>455</v>
      </c>
      <c r="AP8" s="140">
        <v>1</v>
      </c>
      <c r="AQ8" s="142" t="s">
        <v>82</v>
      </c>
      <c r="AR8" s="301"/>
      <c r="AT8" s="44" t="s">
        <v>222</v>
      </c>
      <c r="AU8" s="45">
        <f>SUM(AL5:AL15)</f>
        <v>436.66071648144339</v>
      </c>
      <c r="AX8" s="63" t="s">
        <v>222</v>
      </c>
      <c r="AY8" s="64">
        <v>436.66071648144339</v>
      </c>
      <c r="AZ8" s="64">
        <v>14.18</v>
      </c>
      <c r="BA8" s="64">
        <v>14.18</v>
      </c>
      <c r="BB8" s="64">
        <v>0</v>
      </c>
      <c r="BC8" s="64">
        <v>78.116547446788644</v>
      </c>
      <c r="BD8" s="64">
        <v>356.62</v>
      </c>
      <c r="BE8" s="64"/>
      <c r="BF8" s="64"/>
      <c r="BG8" s="64"/>
      <c r="BH8" s="64">
        <v>47.121909157286893</v>
      </c>
      <c r="BI8" s="64">
        <v>47.12</v>
      </c>
      <c r="BJ8"/>
      <c r="BK8"/>
      <c r="BL8"/>
      <c r="BM8"/>
      <c r="BN8"/>
      <c r="BO8"/>
      <c r="BP8"/>
      <c r="BQ8"/>
      <c r="BR8"/>
      <c r="BS8"/>
      <c r="BT8"/>
      <c r="BU8"/>
    </row>
    <row r="9" spans="1:73" s="2" customFormat="1" ht="20.25">
      <c r="A9" s="103"/>
      <c r="B9" s="303"/>
      <c r="C9" s="84">
        <v>5</v>
      </c>
      <c r="D9" s="85" t="s">
        <v>441</v>
      </c>
      <c r="E9" s="89" t="s">
        <v>132</v>
      </c>
      <c r="F9" s="85">
        <f>$AP$8</f>
        <v>1</v>
      </c>
      <c r="G9" s="85">
        <v>5</v>
      </c>
      <c r="H9" s="85">
        <v>0</v>
      </c>
      <c r="I9" s="85">
        <v>0</v>
      </c>
      <c r="J9" s="85">
        <v>0</v>
      </c>
      <c r="K9" s="85">
        <v>6.1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85">
        <v>0</v>
      </c>
      <c r="S9" s="85">
        <v>0</v>
      </c>
      <c r="T9" s="85">
        <f t="shared" si="0"/>
        <v>6.1</v>
      </c>
      <c r="U9" s="91"/>
      <c r="V9" s="89">
        <f>T9*$V$3*F9</f>
        <v>0.6634500256721434</v>
      </c>
      <c r="W9" s="89">
        <f>H9*$W$3*F9</f>
        <v>0</v>
      </c>
      <c r="X9" s="89">
        <f t="shared" si="3"/>
        <v>0</v>
      </c>
      <c r="Y9" s="89">
        <f t="shared" si="12"/>
        <v>0</v>
      </c>
      <c r="Z9" s="89">
        <f t="shared" si="13"/>
        <v>0</v>
      </c>
      <c r="AA9" s="89">
        <f t="shared" si="4"/>
        <v>0</v>
      </c>
      <c r="AB9" s="89">
        <f>K9*$AB$3*F9</f>
        <v>12.731072172619047</v>
      </c>
      <c r="AC9" s="89">
        <f>(IF(ISNUMBER(SEARCH("CCR7", E9)),K9*$AC$3, 0))*F9</f>
        <v>2.7224430964131034</v>
      </c>
      <c r="AD9" s="89">
        <f t="shared" si="6"/>
        <v>0</v>
      </c>
      <c r="AE9" s="89">
        <f t="shared" si="7"/>
        <v>0</v>
      </c>
      <c r="AF9" s="89">
        <f t="shared" si="8"/>
        <v>0</v>
      </c>
      <c r="AG9" s="89">
        <f t="shared" si="9"/>
        <v>0</v>
      </c>
      <c r="AH9" s="89">
        <f t="shared" si="10"/>
        <v>0</v>
      </c>
      <c r="AI9" s="89">
        <v>0</v>
      </c>
      <c r="AJ9" s="89"/>
      <c r="AK9" s="89">
        <v>0</v>
      </c>
      <c r="AL9" s="145">
        <f t="shared" si="11"/>
        <v>16.116965294704293</v>
      </c>
      <c r="AM9" s="101"/>
      <c r="AN9" s="301"/>
      <c r="AO9" s="192" t="s">
        <v>454</v>
      </c>
      <c r="AP9" s="140">
        <v>2</v>
      </c>
      <c r="AQ9" s="142" t="s">
        <v>129</v>
      </c>
      <c r="AR9" s="301"/>
      <c r="AS9" s="121"/>
      <c r="AT9" s="44" t="s">
        <v>200</v>
      </c>
      <c r="AU9" s="46"/>
      <c r="AV9"/>
      <c r="AW9"/>
      <c r="AX9" s="63" t="s">
        <v>200</v>
      </c>
      <c r="AY9" s="64"/>
      <c r="AZ9" s="64">
        <v>94.13</v>
      </c>
      <c r="BA9" s="64">
        <v>430.43</v>
      </c>
      <c r="BB9" s="64">
        <v>55.913309489357729</v>
      </c>
      <c r="BC9" s="64">
        <v>612.38110607445446</v>
      </c>
      <c r="BD9" s="64"/>
      <c r="BE9" s="64">
        <v>853.92500092329203</v>
      </c>
      <c r="BF9" s="64">
        <v>858.65318741974465</v>
      </c>
      <c r="BG9" s="64">
        <v>853.92500092329203</v>
      </c>
      <c r="BH9" s="64">
        <v>113.48</v>
      </c>
      <c r="BI9" s="64">
        <v>209.56</v>
      </c>
      <c r="BJ9"/>
      <c r="BK9"/>
      <c r="BL9"/>
      <c r="BM9"/>
      <c r="BN9"/>
      <c r="BO9"/>
      <c r="BP9"/>
      <c r="BQ9"/>
      <c r="BR9"/>
      <c r="BS9"/>
      <c r="BT9"/>
      <c r="BU9"/>
    </row>
    <row r="10" spans="1:73" ht="20.25">
      <c r="A10" s="103"/>
      <c r="B10" s="303"/>
      <c r="C10" s="84">
        <v>6</v>
      </c>
      <c r="D10" s="85" t="s">
        <v>440</v>
      </c>
      <c r="E10" s="89" t="s">
        <v>148</v>
      </c>
      <c r="F10" s="85">
        <f>$AP$8</f>
        <v>1</v>
      </c>
      <c r="G10" s="85">
        <v>30</v>
      </c>
      <c r="H10" s="85">
        <v>0</v>
      </c>
      <c r="I10" s="85">
        <v>0</v>
      </c>
      <c r="J10" s="85">
        <v>0</v>
      </c>
      <c r="K10" s="85">
        <v>15</v>
      </c>
      <c r="L10" s="85">
        <v>0</v>
      </c>
      <c r="M10" s="85">
        <v>0</v>
      </c>
      <c r="N10" s="85">
        <v>0</v>
      </c>
      <c r="O10" s="85">
        <v>0</v>
      </c>
      <c r="P10" s="85">
        <v>0</v>
      </c>
      <c r="Q10" s="85">
        <v>0</v>
      </c>
      <c r="R10" s="85">
        <v>0</v>
      </c>
      <c r="S10" s="85">
        <v>0</v>
      </c>
      <c r="T10" s="85">
        <f t="shared" si="0"/>
        <v>15</v>
      </c>
      <c r="U10" s="91"/>
      <c r="V10" s="89">
        <f t="shared" si="1"/>
        <v>1.6314344893577297</v>
      </c>
      <c r="W10" s="89">
        <f t="shared" si="2"/>
        <v>0</v>
      </c>
      <c r="X10" s="89">
        <f t="shared" si="3"/>
        <v>0</v>
      </c>
      <c r="Y10" s="89">
        <f t="shared" si="12"/>
        <v>0</v>
      </c>
      <c r="Z10" s="89">
        <f t="shared" si="13"/>
        <v>0</v>
      </c>
      <c r="AA10" s="89">
        <f t="shared" si="4"/>
        <v>0</v>
      </c>
      <c r="AB10" s="89">
        <f>K10*$AB$3*F10</f>
        <v>31.305915178571428</v>
      </c>
      <c r="AC10" s="89">
        <f t="shared" si="5"/>
        <v>6.694532204294517</v>
      </c>
      <c r="AD10" s="89">
        <f t="shared" si="6"/>
        <v>0</v>
      </c>
      <c r="AE10" s="89">
        <f t="shared" si="7"/>
        <v>0</v>
      </c>
      <c r="AF10" s="89">
        <f t="shared" si="8"/>
        <v>0</v>
      </c>
      <c r="AG10" s="89">
        <f t="shared" si="9"/>
        <v>0</v>
      </c>
      <c r="AH10" s="89">
        <f t="shared" si="10"/>
        <v>0</v>
      </c>
      <c r="AI10" s="89">
        <v>0</v>
      </c>
      <c r="AJ10" s="89"/>
      <c r="AK10" s="89">
        <v>0</v>
      </c>
      <c r="AL10" s="145">
        <f t="shared" si="11"/>
        <v>39.631881872223673</v>
      </c>
      <c r="AM10" s="101"/>
      <c r="AN10" s="301"/>
      <c r="AO10" s="209"/>
      <c r="AP10" s="127"/>
      <c r="AQ10" s="128"/>
      <c r="AR10" s="301"/>
      <c r="AT10" s="44" t="s">
        <v>201</v>
      </c>
      <c r="AU10" s="46"/>
      <c r="AX10" s="63" t="s">
        <v>201</v>
      </c>
      <c r="AY10" s="64"/>
      <c r="AZ10" s="64"/>
      <c r="BA10" s="64"/>
      <c r="BB10" s="64"/>
      <c r="BC10" s="64"/>
      <c r="BD10" s="64"/>
      <c r="BE10" s="64">
        <v>637.66173243010689</v>
      </c>
      <c r="BF10" s="64">
        <v>1025.970164382383</v>
      </c>
      <c r="BG10" s="64">
        <v>995.38314410897203</v>
      </c>
      <c r="BH10" s="64"/>
      <c r="BI10" s="64"/>
      <c r="BJ10"/>
      <c r="BK10"/>
      <c r="BL10"/>
      <c r="BM10"/>
      <c r="BN10"/>
      <c r="BO10"/>
      <c r="BP10"/>
      <c r="BQ10"/>
      <c r="BR10"/>
      <c r="BS10"/>
      <c r="BT10"/>
      <c r="BU10"/>
    </row>
    <row r="11" spans="1:73" ht="20.25">
      <c r="A11" s="103"/>
      <c r="B11" s="303"/>
      <c r="C11" s="84">
        <v>7</v>
      </c>
      <c r="D11" s="85" t="s">
        <v>480</v>
      </c>
      <c r="E11" s="89" t="s">
        <v>132</v>
      </c>
      <c r="F11" s="85">
        <f>$AP$8</f>
        <v>1</v>
      </c>
      <c r="G11" s="85">
        <v>30</v>
      </c>
      <c r="H11" s="85">
        <v>0</v>
      </c>
      <c r="I11" s="85">
        <v>0</v>
      </c>
      <c r="J11" s="85">
        <v>0</v>
      </c>
      <c r="K11" s="85">
        <f>47</f>
        <v>47</v>
      </c>
      <c r="L11" s="85">
        <v>0</v>
      </c>
      <c r="M11" s="85">
        <v>0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0</v>
      </c>
      <c r="T11" s="85">
        <f>SUM(H11:S11)*F11</f>
        <v>47</v>
      </c>
      <c r="U11" s="91"/>
      <c r="V11" s="89">
        <f t="shared" si="1"/>
        <v>5.11182806665422</v>
      </c>
      <c r="W11" s="89">
        <f t="shared" si="2"/>
        <v>0</v>
      </c>
      <c r="X11" s="89">
        <f t="shared" si="3"/>
        <v>0</v>
      </c>
      <c r="Y11" s="89">
        <f t="shared" si="12"/>
        <v>0</v>
      </c>
      <c r="Z11" s="89">
        <f t="shared" si="13"/>
        <v>0</v>
      </c>
      <c r="AA11" s="89">
        <f t="shared" si="4"/>
        <v>0</v>
      </c>
      <c r="AB11" s="89">
        <f t="shared" si="14"/>
        <v>98.091867559523806</v>
      </c>
      <c r="AC11" s="89">
        <f t="shared" si="5"/>
        <v>20.976200906789487</v>
      </c>
      <c r="AD11" s="89">
        <f t="shared" si="6"/>
        <v>0</v>
      </c>
      <c r="AE11" s="89">
        <f t="shared" si="7"/>
        <v>0</v>
      </c>
      <c r="AF11" s="89">
        <f t="shared" si="8"/>
        <v>0</v>
      </c>
      <c r="AG11" s="89">
        <f t="shared" si="9"/>
        <v>0</v>
      </c>
      <c r="AH11" s="89">
        <f t="shared" si="10"/>
        <v>0</v>
      </c>
      <c r="AI11" s="89">
        <v>0</v>
      </c>
      <c r="AJ11" s="89"/>
      <c r="AK11" s="89">
        <v>0</v>
      </c>
      <c r="AL11" s="145">
        <f t="shared" si="11"/>
        <v>124.17989653296752</v>
      </c>
      <c r="AM11" s="101"/>
      <c r="AN11" s="121"/>
      <c r="AO11" s="121"/>
      <c r="AP11" s="120"/>
      <c r="AQ11" s="120"/>
      <c r="AT11" s="44" t="s">
        <v>223</v>
      </c>
      <c r="AU11" s="46"/>
      <c r="AX11" s="63" t="s">
        <v>223</v>
      </c>
      <c r="AY11" s="64"/>
      <c r="AZ11" s="64">
        <v>234.85</v>
      </c>
      <c r="BA11" s="64">
        <v>234.85</v>
      </c>
      <c r="BB11" s="64"/>
      <c r="BC11" s="64"/>
      <c r="BD11" s="64"/>
      <c r="BE11" s="64">
        <v>441.75445045931053</v>
      </c>
      <c r="BF11" s="64">
        <v>632.06982139444312</v>
      </c>
      <c r="BG11" s="64">
        <v>479.19302282837026</v>
      </c>
      <c r="BH11" s="64"/>
      <c r="BI11" s="64"/>
      <c r="BJ11"/>
      <c r="BK11"/>
      <c r="BL11"/>
      <c r="BM11"/>
      <c r="BN11"/>
      <c r="BO11"/>
      <c r="BP11"/>
      <c r="BQ11"/>
      <c r="BR11"/>
      <c r="BS11"/>
      <c r="BT11"/>
      <c r="BU11"/>
    </row>
    <row r="12" spans="1:73" ht="20.25">
      <c r="A12" s="103"/>
      <c r="B12" s="303"/>
      <c r="C12" s="84">
        <v>8</v>
      </c>
      <c r="D12" s="85" t="s">
        <v>445</v>
      </c>
      <c r="E12" s="89" t="s">
        <v>267</v>
      </c>
      <c r="F12" s="245">
        <f>IF(OR(AP5 ="yes", AP6="yes"), 1, 0)</f>
        <v>0</v>
      </c>
      <c r="G12" s="245">
        <v>30</v>
      </c>
      <c r="H12" s="245">
        <v>30</v>
      </c>
      <c r="I12" s="245">
        <v>0</v>
      </c>
      <c r="J12" s="245">
        <v>0</v>
      </c>
      <c r="K12" s="245">
        <v>0</v>
      </c>
      <c r="L12" s="245">
        <v>0</v>
      </c>
      <c r="M12" s="245">
        <v>0</v>
      </c>
      <c r="N12" s="245">
        <v>0</v>
      </c>
      <c r="O12" s="245">
        <v>0</v>
      </c>
      <c r="P12" s="245">
        <v>0</v>
      </c>
      <c r="Q12" s="245">
        <v>0</v>
      </c>
      <c r="R12" s="245">
        <v>0</v>
      </c>
      <c r="S12" s="245">
        <v>0</v>
      </c>
      <c r="T12" s="245">
        <f t="shared" si="0"/>
        <v>0</v>
      </c>
      <c r="U12" s="91"/>
      <c r="V12" s="89">
        <f t="shared" si="1"/>
        <v>0</v>
      </c>
      <c r="W12" s="89">
        <f t="shared" si="2"/>
        <v>0</v>
      </c>
      <c r="X12" s="89">
        <f t="shared" si="3"/>
        <v>0</v>
      </c>
      <c r="Y12" s="89">
        <f t="shared" si="12"/>
        <v>0</v>
      </c>
      <c r="Z12" s="89">
        <f t="shared" si="13"/>
        <v>0</v>
      </c>
      <c r="AA12" s="89">
        <f t="shared" si="4"/>
        <v>0</v>
      </c>
      <c r="AB12" s="89">
        <f t="shared" si="14"/>
        <v>0</v>
      </c>
      <c r="AC12" s="89">
        <f t="shared" si="5"/>
        <v>0</v>
      </c>
      <c r="AD12" s="89">
        <f t="shared" si="6"/>
        <v>0</v>
      </c>
      <c r="AE12" s="89">
        <f t="shared" si="7"/>
        <v>0</v>
      </c>
      <c r="AF12" s="89">
        <f t="shared" si="8"/>
        <v>0</v>
      </c>
      <c r="AG12" s="89">
        <f t="shared" si="9"/>
        <v>0</v>
      </c>
      <c r="AH12" s="89">
        <f t="shared" si="10"/>
        <v>0</v>
      </c>
      <c r="AI12" s="89">
        <v>0</v>
      </c>
      <c r="AJ12" s="89"/>
      <c r="AK12" s="89">
        <v>0</v>
      </c>
      <c r="AL12" s="145">
        <f t="shared" si="11"/>
        <v>0</v>
      </c>
      <c r="AM12" s="101"/>
      <c r="AN12" s="121"/>
      <c r="AO12" s="121"/>
      <c r="AP12" s="120"/>
      <c r="AQ12" s="120"/>
      <c r="AT12" s="44" t="s">
        <v>202</v>
      </c>
      <c r="AU12" s="46"/>
      <c r="AX12" s="63" t="s">
        <v>202</v>
      </c>
      <c r="AY12" s="64"/>
      <c r="AZ12" s="64"/>
      <c r="BA12" s="64"/>
      <c r="BB12" s="64"/>
      <c r="BC12" s="64"/>
      <c r="BD12" s="64"/>
      <c r="BE12" s="64">
        <v>293.98836278362671</v>
      </c>
      <c r="BF12" s="64">
        <v>293.98836278362671</v>
      </c>
      <c r="BG12" s="64">
        <v>293.98836278362671</v>
      </c>
      <c r="BH12" s="64">
        <v>293.99</v>
      </c>
      <c r="BI12" s="64">
        <v>293.99</v>
      </c>
      <c r="BJ12"/>
      <c r="BK12"/>
      <c r="BL12"/>
      <c r="BM12"/>
      <c r="BN12"/>
      <c r="BO12"/>
      <c r="BP12"/>
      <c r="BQ12"/>
      <c r="BR12"/>
      <c r="BS12"/>
      <c r="BT12"/>
      <c r="BU12"/>
    </row>
    <row r="13" spans="1:73" ht="20.25">
      <c r="A13" s="103"/>
      <c r="B13" s="303"/>
      <c r="C13" s="84" t="s">
        <v>106</v>
      </c>
      <c r="D13" s="85" t="s">
        <v>446</v>
      </c>
      <c r="E13" s="89" t="s">
        <v>159</v>
      </c>
      <c r="F13" s="245">
        <f>IF(AP5="yes", 1, 0)</f>
        <v>0</v>
      </c>
      <c r="G13" s="245">
        <v>30</v>
      </c>
      <c r="H13" s="245">
        <v>60</v>
      </c>
      <c r="I13" s="245">
        <v>0</v>
      </c>
      <c r="J13" s="245">
        <v>40</v>
      </c>
      <c r="K13" s="245">
        <v>0</v>
      </c>
      <c r="L13" s="245">
        <v>0</v>
      </c>
      <c r="M13" s="245">
        <v>30</v>
      </c>
      <c r="N13" s="245">
        <v>30</v>
      </c>
      <c r="O13" s="245">
        <v>0</v>
      </c>
      <c r="P13" s="245">
        <v>0</v>
      </c>
      <c r="Q13" s="245">
        <v>0</v>
      </c>
      <c r="R13" s="245">
        <v>0</v>
      </c>
      <c r="S13" s="245">
        <v>0</v>
      </c>
      <c r="T13" s="245">
        <f t="shared" si="0"/>
        <v>0</v>
      </c>
      <c r="U13" s="91"/>
      <c r="V13" s="89">
        <f t="shared" si="1"/>
        <v>0</v>
      </c>
      <c r="W13" s="89">
        <f>H13*$W$3*F13</f>
        <v>0</v>
      </c>
      <c r="X13" s="89">
        <f t="shared" si="3"/>
        <v>0</v>
      </c>
      <c r="Y13" s="89">
        <f t="shared" si="12"/>
        <v>0</v>
      </c>
      <c r="Z13" s="89">
        <f>IF(ISNUMBER(SEARCH("CCR4", E13)),(T13-K13)*$Z$3, 0)</f>
        <v>0</v>
      </c>
      <c r="AA13" s="89">
        <f t="shared" si="4"/>
        <v>0</v>
      </c>
      <c r="AB13" s="89">
        <f t="shared" si="14"/>
        <v>0</v>
      </c>
      <c r="AC13" s="89">
        <f t="shared" si="5"/>
        <v>0</v>
      </c>
      <c r="AD13" s="89">
        <f t="shared" si="6"/>
        <v>0</v>
      </c>
      <c r="AE13" s="89">
        <f t="shared" si="7"/>
        <v>0</v>
      </c>
      <c r="AF13" s="89">
        <f t="shared" si="8"/>
        <v>0</v>
      </c>
      <c r="AG13" s="89">
        <f>IF(ISNUMBER(SEARCH("CCR11", E13)),T13*$AG$3, 0)</f>
        <v>0</v>
      </c>
      <c r="AH13" s="89">
        <f t="shared" si="10"/>
        <v>0</v>
      </c>
      <c r="AI13" s="89">
        <v>0</v>
      </c>
      <c r="AJ13" s="89"/>
      <c r="AK13" s="89">
        <v>0</v>
      </c>
      <c r="AL13" s="145">
        <f t="shared" si="11"/>
        <v>0</v>
      </c>
      <c r="AM13" s="101"/>
      <c r="AN13" s="121"/>
      <c r="AO13" s="121"/>
      <c r="AP13" s="120"/>
      <c r="AQ13" s="120"/>
      <c r="AT13" s="44" t="s">
        <v>224</v>
      </c>
      <c r="AU13" s="46"/>
      <c r="AX13" s="63" t="s">
        <v>224</v>
      </c>
      <c r="AY13" s="64"/>
      <c r="AZ13" s="64"/>
      <c r="BA13" s="64"/>
      <c r="BB13" s="64"/>
      <c r="BC13" s="64"/>
      <c r="BD13" s="64"/>
      <c r="BE13" s="64">
        <v>207.55321273071434</v>
      </c>
      <c r="BF13" s="64">
        <v>207.55321273071434</v>
      </c>
      <c r="BG13" s="64">
        <v>207.55321273071434</v>
      </c>
      <c r="BH13" s="64">
        <v>301.11</v>
      </c>
      <c r="BI13" s="64">
        <v>301.11</v>
      </c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 ht="21" thickBot="1">
      <c r="A14" s="103"/>
      <c r="B14" s="303"/>
      <c r="C14" s="84" t="s">
        <v>107</v>
      </c>
      <c r="D14" s="85" t="s">
        <v>447</v>
      </c>
      <c r="E14" s="89" t="s">
        <v>151</v>
      </c>
      <c r="F14" s="245">
        <f>IF(AP6="yes", 1, 0)</f>
        <v>0</v>
      </c>
      <c r="G14" s="245">
        <v>60</v>
      </c>
      <c r="H14" s="245">
        <v>120</v>
      </c>
      <c r="I14" s="245">
        <v>0</v>
      </c>
      <c r="J14" s="245">
        <v>120</v>
      </c>
      <c r="K14" s="245">
        <v>0</v>
      </c>
      <c r="L14" s="245">
        <v>0</v>
      </c>
      <c r="M14" s="245">
        <v>0</v>
      </c>
      <c r="N14" s="245">
        <v>0</v>
      </c>
      <c r="O14" s="245">
        <v>40</v>
      </c>
      <c r="P14" s="245">
        <v>40</v>
      </c>
      <c r="Q14" s="245">
        <v>20</v>
      </c>
      <c r="R14" s="245">
        <v>0</v>
      </c>
      <c r="S14" s="245">
        <v>0</v>
      </c>
      <c r="T14" s="245">
        <f t="shared" si="0"/>
        <v>0</v>
      </c>
      <c r="U14" s="91"/>
      <c r="V14" s="89">
        <f>T14*$V$3*F14</f>
        <v>0</v>
      </c>
      <c r="W14" s="89">
        <f t="shared" si="2"/>
        <v>0</v>
      </c>
      <c r="X14" s="89">
        <f t="shared" si="3"/>
        <v>0</v>
      </c>
      <c r="Y14" s="89">
        <f t="shared" si="12"/>
        <v>0</v>
      </c>
      <c r="Z14" s="89">
        <f t="shared" si="13"/>
        <v>0</v>
      </c>
      <c r="AA14" s="89">
        <f t="shared" si="4"/>
        <v>0</v>
      </c>
      <c r="AB14" s="89">
        <f t="shared" si="14"/>
        <v>0</v>
      </c>
      <c r="AC14" s="89">
        <f t="shared" si="5"/>
        <v>0</v>
      </c>
      <c r="AD14" s="89">
        <f t="shared" si="6"/>
        <v>0</v>
      </c>
      <c r="AE14" s="89">
        <f t="shared" si="7"/>
        <v>0</v>
      </c>
      <c r="AF14" s="89">
        <f t="shared" si="8"/>
        <v>0</v>
      </c>
      <c r="AG14" s="89">
        <f>IF(ISNUMBER(SEARCH("CCR11", E14)),T14*$AG$3, 0)</f>
        <v>0</v>
      </c>
      <c r="AH14" s="89">
        <f>(IF(ISNUMBER(SEARCH("CCR12", E14)),T14*$AH$3, 0))*F14</f>
        <v>0</v>
      </c>
      <c r="AI14" s="89">
        <v>0</v>
      </c>
      <c r="AJ14" s="89"/>
      <c r="AK14" s="89">
        <v>0</v>
      </c>
      <c r="AL14" s="145">
        <f>SUM(V14:AK14)</f>
        <v>0</v>
      </c>
      <c r="AM14" s="101"/>
      <c r="AN14" s="121"/>
      <c r="AO14" s="121"/>
      <c r="AP14" s="120"/>
      <c r="AQ14" s="120"/>
      <c r="AT14" s="44" t="s">
        <v>203</v>
      </c>
      <c r="AU14" s="51">
        <v>67.02</v>
      </c>
      <c r="AX14" s="63" t="s">
        <v>203</v>
      </c>
      <c r="AY14" s="65">
        <v>67.02</v>
      </c>
      <c r="AZ14" s="65">
        <v>174.84</v>
      </c>
      <c r="BA14" s="65">
        <v>174.84</v>
      </c>
      <c r="BB14" s="65">
        <v>165.51060223617543</v>
      </c>
      <c r="BC14" s="65">
        <v>272.87208182233633</v>
      </c>
      <c r="BD14" s="65"/>
      <c r="BE14" s="65">
        <v>174.84465335426313</v>
      </c>
      <c r="BF14" s="65">
        <v>174.84465335426313</v>
      </c>
      <c r="BG14" s="65">
        <v>174.84465335426313</v>
      </c>
      <c r="BH14" s="65">
        <v>184.18</v>
      </c>
      <c r="BI14" s="65">
        <v>184.18</v>
      </c>
      <c r="BJ14"/>
      <c r="BK14"/>
      <c r="BL14"/>
      <c r="BM14"/>
      <c r="BN14"/>
      <c r="BO14"/>
      <c r="BP14"/>
      <c r="BQ14"/>
      <c r="BR14"/>
      <c r="BS14"/>
      <c r="BT14"/>
      <c r="BU14"/>
    </row>
    <row r="15" spans="1:73" ht="20.25" customHeight="1" thickTop="1">
      <c r="A15" s="103"/>
      <c r="B15" s="303"/>
      <c r="C15" s="84">
        <v>10</v>
      </c>
      <c r="D15" s="85" t="s">
        <v>448</v>
      </c>
      <c r="E15" s="89" t="s">
        <v>296</v>
      </c>
      <c r="F15" s="245">
        <f>AP7</f>
        <v>0</v>
      </c>
      <c r="G15" s="245">
        <v>30</v>
      </c>
      <c r="H15" s="245">
        <v>0</v>
      </c>
      <c r="I15" s="245">
        <v>0</v>
      </c>
      <c r="J15" s="245">
        <v>0</v>
      </c>
      <c r="K15" s="245">
        <v>0</v>
      </c>
      <c r="L15" s="245">
        <v>30</v>
      </c>
      <c r="M15" s="245">
        <v>30</v>
      </c>
      <c r="N15" s="245">
        <v>30</v>
      </c>
      <c r="O15" s="245">
        <v>0</v>
      </c>
      <c r="P15" s="245">
        <v>0</v>
      </c>
      <c r="Q15" s="245">
        <v>0</v>
      </c>
      <c r="R15" s="245">
        <v>0</v>
      </c>
      <c r="S15" s="245">
        <v>0</v>
      </c>
      <c r="T15" s="245">
        <f t="shared" si="0"/>
        <v>0</v>
      </c>
      <c r="U15" s="91"/>
      <c r="V15" s="89">
        <f t="shared" si="1"/>
        <v>0</v>
      </c>
      <c r="W15" s="89">
        <f t="shared" si="2"/>
        <v>0</v>
      </c>
      <c r="X15" s="89">
        <f t="shared" si="3"/>
        <v>0</v>
      </c>
      <c r="Y15" s="89">
        <f t="shared" si="12"/>
        <v>0</v>
      </c>
      <c r="Z15" s="89">
        <f>IF(ISNUMBER(SEARCH("CCR4", E15)),(T15-K15)*$Z$3, 0)</f>
        <v>0</v>
      </c>
      <c r="AA15" s="89">
        <f t="shared" si="4"/>
        <v>0</v>
      </c>
      <c r="AB15" s="89">
        <f t="shared" si="14"/>
        <v>0</v>
      </c>
      <c r="AC15" s="89">
        <f t="shared" si="5"/>
        <v>0</v>
      </c>
      <c r="AD15" s="89">
        <f t="shared" si="6"/>
        <v>0</v>
      </c>
      <c r="AE15" s="89">
        <f t="shared" si="7"/>
        <v>0</v>
      </c>
      <c r="AF15" s="89">
        <f t="shared" si="8"/>
        <v>0</v>
      </c>
      <c r="AG15" s="89">
        <f>IF(ISNUMBER(SEARCH("CCR11", E15)),T15*$AG$3, 0)</f>
        <v>0</v>
      </c>
      <c r="AH15" s="89">
        <f t="shared" si="10"/>
        <v>0</v>
      </c>
      <c r="AI15" s="89">
        <v>0</v>
      </c>
      <c r="AJ15" s="89"/>
      <c r="AK15" s="89">
        <f>(inputs!E55)*F15</f>
        <v>0</v>
      </c>
      <c r="AL15" s="145">
        <f t="shared" si="11"/>
        <v>0</v>
      </c>
      <c r="AN15" s="120"/>
      <c r="AO15" s="121"/>
      <c r="AP15" s="120"/>
      <c r="AQ15" s="120"/>
      <c r="AT15" s="47" t="s">
        <v>204</v>
      </c>
      <c r="AU15" s="37">
        <f>SUM(AU8:AU14)</f>
        <v>503.68071648144337</v>
      </c>
      <c r="AX15" s="66" t="s">
        <v>204</v>
      </c>
      <c r="AY15" s="67">
        <f>SUM(AY8:AY14)</f>
        <v>503.68071648144337</v>
      </c>
      <c r="AZ15" s="67">
        <v>518</v>
      </c>
      <c r="BA15" s="67">
        <f>SUM(BA8:BA14)</f>
        <v>854.30000000000007</v>
      </c>
      <c r="BB15" s="67">
        <f t="shared" ref="BB15:BH15" si="15">SUM(BB8:BB14)</f>
        <v>221.42391172553317</v>
      </c>
      <c r="BC15" s="67">
        <f t="shared" si="15"/>
        <v>963.36973534357946</v>
      </c>
      <c r="BD15" s="67">
        <f t="shared" si="15"/>
        <v>356.62</v>
      </c>
      <c r="BE15" s="67">
        <f t="shared" si="15"/>
        <v>2609.7274126813136</v>
      </c>
      <c r="BF15" s="67">
        <f t="shared" si="15"/>
        <v>3193.0794020651747</v>
      </c>
      <c r="BG15" s="67">
        <f t="shared" si="15"/>
        <v>3004.8873967292384</v>
      </c>
      <c r="BH15" s="67">
        <f t="shared" si="15"/>
        <v>939.88190915728705</v>
      </c>
      <c r="BI15" s="67">
        <v>1035.96</v>
      </c>
      <c r="BJ15"/>
      <c r="BK15"/>
      <c r="BL15"/>
      <c r="BM15"/>
      <c r="BN15"/>
      <c r="BO15"/>
      <c r="BP15"/>
      <c r="BQ15"/>
      <c r="BR15"/>
      <c r="BS15"/>
      <c r="BT15"/>
      <c r="BU15"/>
    </row>
    <row r="16" spans="1:73" ht="24" thickBot="1">
      <c r="A16" s="103"/>
      <c r="B16" s="303"/>
      <c r="C16" s="85">
        <v>11</v>
      </c>
      <c r="D16" s="85" t="s">
        <v>449</v>
      </c>
      <c r="E16" s="89" t="s">
        <v>266</v>
      </c>
      <c r="F16" s="85">
        <f>AP9-1-F12</f>
        <v>1</v>
      </c>
      <c r="G16" s="85">
        <v>30</v>
      </c>
      <c r="H16" s="85">
        <v>30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85">
        <v>0</v>
      </c>
      <c r="S16" s="85">
        <v>0</v>
      </c>
      <c r="T16" s="85">
        <f t="shared" si="0"/>
        <v>30</v>
      </c>
      <c r="U16" s="91"/>
      <c r="V16" s="89">
        <f>T16*$V$3*F16</f>
        <v>3.2628689787154594</v>
      </c>
      <c r="W16" s="89">
        <f t="shared" si="2"/>
        <v>57.543749999999996</v>
      </c>
      <c r="X16" s="89">
        <f t="shared" si="3"/>
        <v>0</v>
      </c>
      <c r="Y16" s="89">
        <f t="shared" si="12"/>
        <v>0</v>
      </c>
      <c r="Z16" s="89">
        <f>IF(ISNUMBER(SEARCH("CCR4", E16)),(T16-K16)*$Z$3, 0)</f>
        <v>6.2086821393722511</v>
      </c>
      <c r="AA16" s="89">
        <f t="shared" si="4"/>
        <v>0</v>
      </c>
      <c r="AB16" s="89">
        <f t="shared" si="14"/>
        <v>0</v>
      </c>
      <c r="AC16" s="89">
        <f t="shared" si="5"/>
        <v>0</v>
      </c>
      <c r="AD16" s="89">
        <f t="shared" si="6"/>
        <v>0</v>
      </c>
      <c r="AE16" s="89">
        <f t="shared" si="7"/>
        <v>0</v>
      </c>
      <c r="AF16" s="89">
        <f t="shared" si="8"/>
        <v>0</v>
      </c>
      <c r="AG16" s="89">
        <f t="shared" si="9"/>
        <v>0</v>
      </c>
      <c r="AH16" s="89">
        <f t="shared" si="10"/>
        <v>0</v>
      </c>
      <c r="AI16" s="89">
        <v>0</v>
      </c>
      <c r="AJ16" s="89"/>
      <c r="AK16" s="89">
        <v>0</v>
      </c>
      <c r="AL16" s="156">
        <f t="shared" si="11"/>
        <v>67.015301118087706</v>
      </c>
      <c r="AM16" s="102"/>
      <c r="AN16" s="124"/>
      <c r="AO16" s="120"/>
      <c r="AP16" s="120"/>
      <c r="AQ16" s="120"/>
      <c r="AT16" s="48"/>
      <c r="AU16" s="48"/>
      <c r="AX16" s="68" t="s">
        <v>378</v>
      </c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/>
      <c r="BK16"/>
      <c r="BL16"/>
      <c r="BM16"/>
      <c r="BN16"/>
      <c r="BO16"/>
      <c r="BP16"/>
      <c r="BQ16"/>
      <c r="BR16"/>
      <c r="BS16"/>
      <c r="BT16"/>
      <c r="BU16"/>
    </row>
    <row r="17" spans="1:73" ht="21" thickTop="1">
      <c r="A17" s="103"/>
      <c r="B17" s="303"/>
      <c r="C17" s="85"/>
      <c r="D17" s="85"/>
      <c r="E17" s="246" t="s">
        <v>552</v>
      </c>
      <c r="F17" s="247"/>
      <c r="G17" s="248">
        <f>($F5*G5)+($F6*G6)+($F7*G7)+($F8*G8)+($F9*G9)+($F10*G10)+($F11*G11)+($F12*G12)+($F13*G13)+($F14*G14)+($F15*G15)+($F16*G16)</f>
        <v>195</v>
      </c>
      <c r="H17" s="248">
        <f t="shared" ref="H17:S17" si="16">($F5*H5)+($F6*H6)+($F7*H7)+($F8*H8)+($F9*H9)+($F10*H10)+($F11*H11)+($F12*H12)+($F13*H13)+($F14*H14)+($F15*H15)+($F16*H16)</f>
        <v>70</v>
      </c>
      <c r="I17" s="248">
        <f t="shared" si="16"/>
        <v>0</v>
      </c>
      <c r="J17" s="248">
        <f t="shared" si="16"/>
        <v>60</v>
      </c>
      <c r="K17" s="248">
        <f t="shared" si="16"/>
        <v>68.099999999999994</v>
      </c>
      <c r="L17" s="248">
        <f t="shared" si="16"/>
        <v>0</v>
      </c>
      <c r="M17" s="248">
        <f t="shared" si="16"/>
        <v>0</v>
      </c>
      <c r="N17" s="248">
        <f t="shared" si="16"/>
        <v>0</v>
      </c>
      <c r="O17" s="248">
        <f t="shared" si="16"/>
        <v>0</v>
      </c>
      <c r="P17" s="248">
        <f t="shared" si="16"/>
        <v>0</v>
      </c>
      <c r="Q17" s="248">
        <f t="shared" si="16"/>
        <v>0</v>
      </c>
      <c r="R17" s="248">
        <f t="shared" si="16"/>
        <v>0</v>
      </c>
      <c r="S17" s="248">
        <f t="shared" si="16"/>
        <v>0</v>
      </c>
      <c r="T17" s="248">
        <f>SUM(T5:T16)</f>
        <v>198.1</v>
      </c>
      <c r="U17" s="91"/>
      <c r="V17" s="251">
        <f>SUM(V5:V16)</f>
        <v>21.545811489451083</v>
      </c>
      <c r="W17" s="251">
        <f>SUM(W5:W16)</f>
        <v>134.26874999999998</v>
      </c>
      <c r="X17" s="251">
        <f t="shared" ref="X17:AK17" si="17">SUM(X5:X16)</f>
        <v>0</v>
      </c>
      <c r="Y17" s="251">
        <f t="shared" si="17"/>
        <v>50.212500000000013</v>
      </c>
      <c r="Z17" s="251">
        <f t="shared" si="17"/>
        <v>14.486924991868587</v>
      </c>
      <c r="AA17" s="251">
        <f t="shared" si="17"/>
        <v>0</v>
      </c>
      <c r="AB17" s="251">
        <f t="shared" si="17"/>
        <v>142.12885491071427</v>
      </c>
      <c r="AC17" s="251">
        <f t="shared" si="17"/>
        <v>30.393176207497106</v>
      </c>
      <c r="AD17" s="251">
        <f t="shared" si="17"/>
        <v>0</v>
      </c>
      <c r="AE17" s="251">
        <f t="shared" si="17"/>
        <v>0</v>
      </c>
      <c r="AF17" s="251">
        <f t="shared" si="17"/>
        <v>0</v>
      </c>
      <c r="AG17" s="251">
        <f t="shared" si="17"/>
        <v>0</v>
      </c>
      <c r="AH17" s="251">
        <f t="shared" si="17"/>
        <v>0</v>
      </c>
      <c r="AI17" s="251">
        <f t="shared" si="17"/>
        <v>0</v>
      </c>
      <c r="AJ17" s="251">
        <f t="shared" si="17"/>
        <v>0</v>
      </c>
      <c r="AK17" s="251">
        <f t="shared" si="17"/>
        <v>110.64</v>
      </c>
      <c r="AL17" s="149">
        <f>SUM(AL5:AL16)</f>
        <v>503.67601759953106</v>
      </c>
      <c r="AM17" s="102"/>
      <c r="AN17" s="124"/>
      <c r="AO17" s="120"/>
      <c r="AP17" s="120"/>
      <c r="AQ17" s="120"/>
      <c r="AT17" s="48"/>
      <c r="AU17" s="48"/>
      <c r="AX17" s="68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 ht="20.25">
      <c r="A18" s="103"/>
      <c r="B18" s="304"/>
      <c r="C18" s="86"/>
      <c r="D18" s="118"/>
      <c r="E18" s="249" t="s">
        <v>450</v>
      </c>
      <c r="F18" s="250"/>
      <c r="G18" s="250">
        <f>SUM(G5:G16)</f>
        <v>345</v>
      </c>
      <c r="H18" s="250">
        <f t="shared" ref="H18:S18" si="18">SUM(H5:H16)</f>
        <v>280</v>
      </c>
      <c r="I18" s="250">
        <f t="shared" si="18"/>
        <v>0</v>
      </c>
      <c r="J18" s="250">
        <f t="shared" si="18"/>
        <v>220</v>
      </c>
      <c r="K18" s="250">
        <f t="shared" si="18"/>
        <v>68.099999999999994</v>
      </c>
      <c r="L18" s="250">
        <f t="shared" si="18"/>
        <v>30</v>
      </c>
      <c r="M18" s="250">
        <f t="shared" si="18"/>
        <v>60</v>
      </c>
      <c r="N18" s="250">
        <f t="shared" si="18"/>
        <v>60</v>
      </c>
      <c r="O18" s="250">
        <f t="shared" si="18"/>
        <v>40</v>
      </c>
      <c r="P18" s="250">
        <f t="shared" si="18"/>
        <v>40</v>
      </c>
      <c r="Q18" s="250">
        <f t="shared" si="18"/>
        <v>20</v>
      </c>
      <c r="R18" s="250">
        <f t="shared" si="18"/>
        <v>0</v>
      </c>
      <c r="S18" s="250">
        <f t="shared" si="18"/>
        <v>0</v>
      </c>
      <c r="T18" s="250">
        <f>SUM(H18:S18)</f>
        <v>818.1</v>
      </c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49"/>
      <c r="AM18" s="102"/>
      <c r="AN18" s="124"/>
      <c r="AO18" s="120"/>
      <c r="AP18" s="120"/>
      <c r="AQ18" s="120"/>
      <c r="AT18" s="48"/>
      <c r="AU18" s="48"/>
      <c r="AX18" s="68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/>
      <c r="BK18"/>
      <c r="BL18"/>
      <c r="BM18"/>
      <c r="BN18"/>
      <c r="BO18"/>
      <c r="BP18"/>
      <c r="BQ18"/>
      <c r="BR18"/>
      <c r="BS18"/>
      <c r="BT18"/>
      <c r="BU18"/>
    </row>
    <row r="19" spans="1:73" ht="20.25">
      <c r="A19" s="103"/>
      <c r="B19" s="103"/>
      <c r="C19" s="104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6"/>
      <c r="AM19" s="102"/>
      <c r="AN19" s="124"/>
      <c r="AO19" s="120"/>
      <c r="AP19" s="120"/>
      <c r="AQ19" s="120"/>
      <c r="AT19" s="48"/>
      <c r="AU19" s="48"/>
      <c r="AX19" s="68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 ht="26.25" customHeight="1" thickBot="1">
      <c r="A20" s="103"/>
      <c r="B20" s="302" t="s">
        <v>23</v>
      </c>
      <c r="C20" s="82">
        <v>1</v>
      </c>
      <c r="D20" s="83" t="s">
        <v>468</v>
      </c>
      <c r="E20" s="150" t="s">
        <v>134</v>
      </c>
      <c r="F20" s="83">
        <f>IF($AP$26="no", 0, 1)</f>
        <v>0</v>
      </c>
      <c r="G20" s="83">
        <v>30</v>
      </c>
      <c r="H20" s="83">
        <v>10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0</v>
      </c>
      <c r="T20" s="83">
        <f t="shared" si="0"/>
        <v>0</v>
      </c>
      <c r="U20" s="88"/>
      <c r="V20" s="88">
        <f t="shared" si="1"/>
        <v>0</v>
      </c>
      <c r="W20" s="88">
        <f t="shared" si="2"/>
        <v>0</v>
      </c>
      <c r="X20" s="88">
        <f t="shared" si="3"/>
        <v>0</v>
      </c>
      <c r="Y20" s="88">
        <f t="shared" si="12"/>
        <v>0</v>
      </c>
      <c r="Z20" s="88">
        <f t="shared" si="13"/>
        <v>0</v>
      </c>
      <c r="AA20" s="88">
        <f t="shared" si="4"/>
        <v>0</v>
      </c>
      <c r="AB20" s="88">
        <f t="shared" si="14"/>
        <v>0</v>
      </c>
      <c r="AC20" s="88">
        <f t="shared" si="5"/>
        <v>0</v>
      </c>
      <c r="AD20" s="88">
        <f t="shared" si="6"/>
        <v>0</v>
      </c>
      <c r="AE20" s="88">
        <f t="shared" si="7"/>
        <v>0</v>
      </c>
      <c r="AF20" s="88">
        <f t="shared" si="8"/>
        <v>0</v>
      </c>
      <c r="AG20" s="88">
        <f t="shared" si="9"/>
        <v>0</v>
      </c>
      <c r="AH20" s="88">
        <f t="shared" si="10"/>
        <v>0</v>
      </c>
      <c r="AI20" s="88">
        <v>0</v>
      </c>
      <c r="AJ20" s="88"/>
      <c r="AK20" s="88">
        <v>0</v>
      </c>
      <c r="AL20" s="152">
        <f t="shared" ref="AL20:AL34" si="19">SUM(V20:AK20)</f>
        <v>0</v>
      </c>
      <c r="AM20" s="120"/>
      <c r="AN20" s="120"/>
      <c r="AO20" s="157"/>
      <c r="AP20" s="157"/>
      <c r="AQ20" s="157"/>
      <c r="AR20" s="120"/>
      <c r="AX20" s="63" t="s">
        <v>225</v>
      </c>
      <c r="AY20" s="64">
        <f>SUM(AK5:AK16)+SUM(AI5:AI16)</f>
        <v>110.64</v>
      </c>
      <c r="AZ20" s="64">
        <f>SUM(AK220:AK236)+SUM(AI220:AI236)</f>
        <v>44.490600000000001</v>
      </c>
      <c r="BA20" s="64">
        <v>205.37631428571399</v>
      </c>
      <c r="BB20" s="64">
        <f>SUM(AI20:AI34)+SUM(AK20:AK34)</f>
        <v>52.49</v>
      </c>
      <c r="BC20" s="64">
        <f>SUM(AI38:AI58)+SUM(AK38:AK58)</f>
        <v>85.2</v>
      </c>
      <c r="BD20" s="64">
        <v>71.95</v>
      </c>
      <c r="BE20" s="64">
        <v>173.70293333333336</v>
      </c>
      <c r="BF20" s="64">
        <v>173.70293333333336</v>
      </c>
      <c r="BG20" s="64">
        <v>243.57760333333334</v>
      </c>
      <c r="BH20" s="64">
        <v>73.506833333333333</v>
      </c>
      <c r="BI20" s="64">
        <v>73.506833333333333</v>
      </c>
      <c r="BJ20"/>
      <c r="BK20"/>
      <c r="BL20"/>
      <c r="BM20"/>
      <c r="BN20"/>
      <c r="BO20"/>
      <c r="BP20"/>
      <c r="BQ20"/>
      <c r="BR20"/>
      <c r="BS20"/>
      <c r="BT20"/>
      <c r="BU20"/>
    </row>
    <row r="21" spans="1:73" ht="24" thickBot="1">
      <c r="A21" s="103"/>
      <c r="B21" s="303"/>
      <c r="C21" s="84">
        <v>2</v>
      </c>
      <c r="D21" s="85" t="s">
        <v>194</v>
      </c>
      <c r="E21" s="151" t="s">
        <v>50</v>
      </c>
      <c r="F21" s="85">
        <v>1</v>
      </c>
      <c r="G21" s="85">
        <v>30</v>
      </c>
      <c r="H21" s="85">
        <v>15</v>
      </c>
      <c r="I21" s="85">
        <v>0</v>
      </c>
      <c r="J21" s="85">
        <v>0</v>
      </c>
      <c r="K21" s="85">
        <v>0</v>
      </c>
      <c r="L21" s="85">
        <v>0</v>
      </c>
      <c r="M21" s="85">
        <v>0</v>
      </c>
      <c r="N21" s="85">
        <v>0</v>
      </c>
      <c r="O21" s="85">
        <v>0</v>
      </c>
      <c r="P21" s="85">
        <v>0</v>
      </c>
      <c r="Q21" s="85">
        <v>0</v>
      </c>
      <c r="R21" s="85">
        <v>0</v>
      </c>
      <c r="S21" s="85">
        <v>0</v>
      </c>
      <c r="T21" s="85">
        <f t="shared" si="0"/>
        <v>15</v>
      </c>
      <c r="U21" s="89"/>
      <c r="V21" s="89">
        <f t="shared" si="1"/>
        <v>1.6314344893577297</v>
      </c>
      <c r="W21" s="89">
        <f t="shared" si="2"/>
        <v>28.771874999999998</v>
      </c>
      <c r="X21" s="89">
        <f t="shared" si="3"/>
        <v>0</v>
      </c>
      <c r="Y21" s="89">
        <f t="shared" si="12"/>
        <v>0</v>
      </c>
      <c r="Z21" s="89">
        <f t="shared" si="13"/>
        <v>0</v>
      </c>
      <c r="AA21" s="89">
        <f t="shared" si="4"/>
        <v>0</v>
      </c>
      <c r="AB21" s="89">
        <f t="shared" si="14"/>
        <v>0</v>
      </c>
      <c r="AC21" s="89">
        <f t="shared" si="5"/>
        <v>0</v>
      </c>
      <c r="AD21" s="89">
        <f t="shared" si="6"/>
        <v>0</v>
      </c>
      <c r="AE21" s="89">
        <f t="shared" si="7"/>
        <v>0</v>
      </c>
      <c r="AF21" s="89">
        <f t="shared" si="8"/>
        <v>0</v>
      </c>
      <c r="AG21" s="89">
        <f t="shared" si="9"/>
        <v>0</v>
      </c>
      <c r="AH21" s="89">
        <f t="shared" si="10"/>
        <v>0</v>
      </c>
      <c r="AI21" s="89">
        <v>0</v>
      </c>
      <c r="AJ21" s="89">
        <f>inputs!$E$26</f>
        <v>4.5</v>
      </c>
      <c r="AK21" s="89">
        <v>0</v>
      </c>
      <c r="AL21" s="153">
        <f t="shared" si="19"/>
        <v>34.903309489357724</v>
      </c>
      <c r="AM21" s="120"/>
      <c r="AN21" s="120"/>
      <c r="AO21" s="240" t="s">
        <v>451</v>
      </c>
      <c r="AP21" s="240" t="s">
        <v>49</v>
      </c>
      <c r="AQ21" s="240" t="s">
        <v>452</v>
      </c>
      <c r="AR21" s="120"/>
      <c r="AT21" s="38" t="s">
        <v>194</v>
      </c>
      <c r="AU21" s="39" t="s">
        <v>196</v>
      </c>
      <c r="AX21" s="63" t="s">
        <v>226</v>
      </c>
      <c r="AY21" s="64">
        <f>SUM(AJ5:AJ16)</f>
        <v>0</v>
      </c>
      <c r="AZ21" s="64">
        <f>SUM(AJ220:AJ236)</f>
        <v>0</v>
      </c>
      <c r="BA21" s="64">
        <v>22.72</v>
      </c>
      <c r="BB21" s="64">
        <f>SUM(AJ20:AJ34)</f>
        <v>4.5</v>
      </c>
      <c r="BC21" s="64">
        <f>SUM(AJ38:AJ58)</f>
        <v>182.02</v>
      </c>
      <c r="BD21" s="64">
        <v>0</v>
      </c>
      <c r="BE21" s="64">
        <v>526.80571428571432</v>
      </c>
      <c r="BF21" s="64">
        <v>526.80571428571432</v>
      </c>
      <c r="BG21" s="64">
        <v>526.80571428571432</v>
      </c>
      <c r="BH21" s="64">
        <v>18.22</v>
      </c>
      <c r="BI21" s="64">
        <v>47.105714285714285</v>
      </c>
      <c r="BJ21"/>
      <c r="BK21"/>
      <c r="BL21"/>
      <c r="BM21"/>
      <c r="BN21"/>
      <c r="BO21"/>
      <c r="BP21"/>
      <c r="BQ21"/>
      <c r="BR21"/>
      <c r="BS21"/>
      <c r="BT21"/>
      <c r="BU21"/>
    </row>
    <row r="22" spans="1:73" ht="17.25" customHeight="1">
      <c r="A22" s="103"/>
      <c r="B22" s="303"/>
      <c r="C22" s="84">
        <v>3</v>
      </c>
      <c r="D22" s="85" t="s">
        <v>471</v>
      </c>
      <c r="E22" s="151" t="s">
        <v>150</v>
      </c>
      <c r="F22" s="85">
        <v>0</v>
      </c>
      <c r="G22" s="85">
        <v>30</v>
      </c>
      <c r="H22" s="85">
        <v>30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0</v>
      </c>
      <c r="R22" s="85">
        <v>0</v>
      </c>
      <c r="S22" s="85">
        <v>0</v>
      </c>
      <c r="T22" s="85">
        <f t="shared" si="0"/>
        <v>0</v>
      </c>
      <c r="U22" s="89"/>
      <c r="V22" s="89">
        <f t="shared" si="1"/>
        <v>0</v>
      </c>
      <c r="W22" s="89">
        <f>H22*$W$3*F22</f>
        <v>0</v>
      </c>
      <c r="X22" s="89">
        <f t="shared" si="3"/>
        <v>0</v>
      </c>
      <c r="Y22" s="89">
        <f t="shared" si="12"/>
        <v>0</v>
      </c>
      <c r="Z22" s="89">
        <f>IF(ISNUMBER(SEARCH("CCR4", E22)),(T22-K22)*$Z$3, 0)</f>
        <v>0</v>
      </c>
      <c r="AA22" s="89">
        <f t="shared" si="4"/>
        <v>0</v>
      </c>
      <c r="AB22" s="89">
        <f t="shared" si="14"/>
        <v>0</v>
      </c>
      <c r="AC22" s="89">
        <f t="shared" si="5"/>
        <v>0</v>
      </c>
      <c r="AD22" s="89">
        <f t="shared" si="6"/>
        <v>0</v>
      </c>
      <c r="AE22" s="89">
        <f t="shared" si="7"/>
        <v>0</v>
      </c>
      <c r="AF22" s="89">
        <f t="shared" si="8"/>
        <v>0</v>
      </c>
      <c r="AG22" s="89">
        <f t="shared" si="9"/>
        <v>0</v>
      </c>
      <c r="AH22" s="89">
        <f t="shared" si="10"/>
        <v>0</v>
      </c>
      <c r="AI22" s="89">
        <v>0</v>
      </c>
      <c r="AJ22" s="89"/>
      <c r="AK22" s="89">
        <v>0</v>
      </c>
      <c r="AL22" s="153">
        <f t="shared" si="19"/>
        <v>0</v>
      </c>
      <c r="AM22" s="120"/>
      <c r="AN22" s="301"/>
      <c r="AO22" s="202" t="s">
        <v>47</v>
      </c>
      <c r="AP22" s="139" t="s">
        <v>18</v>
      </c>
      <c r="AQ22" s="141" t="s">
        <v>45</v>
      </c>
      <c r="AR22" s="120"/>
      <c r="AT22" s="40" t="s">
        <v>278</v>
      </c>
      <c r="AU22" s="40" t="s">
        <v>197</v>
      </c>
      <c r="AX22" s="63" t="s">
        <v>205</v>
      </c>
      <c r="AY22" s="64">
        <f>SUM(V5:V16)</f>
        <v>21.545811489451083</v>
      </c>
      <c r="AZ22" s="64">
        <f>SUM(V220:V236)</f>
        <v>33.901208688853622</v>
      </c>
      <c r="BA22" s="64">
        <v>58.91653752567214</v>
      </c>
      <c r="BB22" s="64">
        <f>SUM(V20:V34)</f>
        <v>8.1571724467886479</v>
      </c>
      <c r="BC22" s="64">
        <f>SUM(V38:V58)</f>
        <v>69.06406004947722</v>
      </c>
      <c r="BD22" s="64">
        <v>12.475639963618166</v>
      </c>
      <c r="BE22" s="64">
        <v>102.04078919436148</v>
      </c>
      <c r="BF22" s="64">
        <v>116.9081153866216</v>
      </c>
      <c r="BG22" s="64">
        <v>110.00965287407099</v>
      </c>
      <c r="BH22" s="64">
        <v>45.176907005727898</v>
      </c>
      <c r="BI22" s="64">
        <v>54.965513941874271</v>
      </c>
      <c r="BJ22"/>
      <c r="BK22"/>
      <c r="BL22"/>
      <c r="BM22"/>
      <c r="BN22"/>
      <c r="BO22"/>
      <c r="BP22"/>
      <c r="BQ22"/>
      <c r="BR22"/>
      <c r="BS22"/>
      <c r="BT22"/>
      <c r="BU22"/>
    </row>
    <row r="23" spans="1:73" ht="24" thickBot="1">
      <c r="A23" s="103"/>
      <c r="B23" s="303"/>
      <c r="C23" s="84">
        <v>4</v>
      </c>
      <c r="D23" s="85" t="s">
        <v>469</v>
      </c>
      <c r="E23" s="151" t="s">
        <v>52</v>
      </c>
      <c r="F23" s="85">
        <v>1</v>
      </c>
      <c r="G23" s="85">
        <v>10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0</v>
      </c>
      <c r="N23" s="85">
        <v>0</v>
      </c>
      <c r="O23" s="85">
        <v>0</v>
      </c>
      <c r="P23" s="85">
        <v>0</v>
      </c>
      <c r="Q23" s="85">
        <v>0</v>
      </c>
      <c r="R23" s="85">
        <v>0</v>
      </c>
      <c r="S23" s="85">
        <v>0</v>
      </c>
      <c r="T23" s="85">
        <f t="shared" si="0"/>
        <v>0</v>
      </c>
      <c r="U23" s="89"/>
      <c r="V23" s="89">
        <f t="shared" si="1"/>
        <v>0</v>
      </c>
      <c r="W23" s="89">
        <f t="shared" si="2"/>
        <v>0</v>
      </c>
      <c r="X23" s="89">
        <f t="shared" si="3"/>
        <v>0</v>
      </c>
      <c r="Y23" s="89">
        <f t="shared" si="12"/>
        <v>0</v>
      </c>
      <c r="Z23" s="89">
        <f t="shared" si="13"/>
        <v>0</v>
      </c>
      <c r="AA23" s="89">
        <f t="shared" si="4"/>
        <v>0</v>
      </c>
      <c r="AB23" s="89">
        <f t="shared" si="14"/>
        <v>0</v>
      </c>
      <c r="AC23" s="89">
        <f t="shared" si="5"/>
        <v>0</v>
      </c>
      <c r="AD23" s="89">
        <f t="shared" si="6"/>
        <v>0</v>
      </c>
      <c r="AE23" s="89">
        <f t="shared" si="7"/>
        <v>0</v>
      </c>
      <c r="AF23" s="89">
        <f t="shared" si="8"/>
        <v>0</v>
      </c>
      <c r="AG23" s="89">
        <f t="shared" si="9"/>
        <v>0</v>
      </c>
      <c r="AH23" s="89">
        <f t="shared" si="10"/>
        <v>0</v>
      </c>
      <c r="AI23" s="89">
        <v>0</v>
      </c>
      <c r="AJ23" s="89"/>
      <c r="AK23" s="89">
        <f>inputs!E56*F23</f>
        <v>21.01</v>
      </c>
      <c r="AL23" s="153">
        <f t="shared" si="19"/>
        <v>21.01</v>
      </c>
      <c r="AM23" s="120"/>
      <c r="AN23" s="301"/>
      <c r="AO23" s="192" t="s">
        <v>46</v>
      </c>
      <c r="AP23" s="140" t="s">
        <v>18</v>
      </c>
      <c r="AQ23" s="142" t="s">
        <v>45</v>
      </c>
      <c r="AR23" s="120"/>
      <c r="AT23" s="41"/>
      <c r="AU23" s="41"/>
      <c r="AX23" s="63" t="s">
        <v>206</v>
      </c>
      <c r="AY23" s="64">
        <f>SUM(W5:W16)</f>
        <v>134.26874999999998</v>
      </c>
      <c r="AZ23" s="64">
        <f>SUM(W220:W236)</f>
        <v>57.543749999999996</v>
      </c>
      <c r="BA23" s="64">
        <v>57.543749999999996</v>
      </c>
      <c r="BB23" s="64">
        <f>SUM(W20:W34)</f>
        <v>143.859375</v>
      </c>
      <c r="BC23" s="64">
        <f>SUM(W38:W58)</f>
        <v>57.543749999999996</v>
      </c>
      <c r="BD23" s="64">
        <v>76.724999999999994</v>
      </c>
      <c r="BE23" s="64">
        <v>57.543749999999996</v>
      </c>
      <c r="BF23" s="64">
        <v>57.543749999999996</v>
      </c>
      <c r="BG23" s="64">
        <v>57.543749999999996</v>
      </c>
      <c r="BH23" s="64">
        <v>0</v>
      </c>
      <c r="BI23" s="64">
        <v>0</v>
      </c>
      <c r="BJ23"/>
      <c r="BK23"/>
      <c r="BL23"/>
      <c r="BM23"/>
      <c r="BN23"/>
      <c r="BO23"/>
      <c r="BP23"/>
      <c r="BQ23"/>
      <c r="BR23"/>
      <c r="BS23"/>
      <c r="BT23"/>
      <c r="BU23"/>
    </row>
    <row r="24" spans="1:73" ht="24" thickBot="1">
      <c r="A24" s="103"/>
      <c r="B24" s="303"/>
      <c r="C24" s="84">
        <v>5</v>
      </c>
      <c r="D24" s="85" t="s">
        <v>470</v>
      </c>
      <c r="E24" s="151" t="s">
        <v>134</v>
      </c>
      <c r="F24" s="85">
        <v>0</v>
      </c>
      <c r="G24" s="85">
        <v>30</v>
      </c>
      <c r="H24" s="85">
        <v>15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5">
        <v>0</v>
      </c>
      <c r="Q24" s="85">
        <v>0</v>
      </c>
      <c r="R24" s="85">
        <v>0</v>
      </c>
      <c r="S24" s="85">
        <v>0</v>
      </c>
      <c r="T24" s="85">
        <f t="shared" si="0"/>
        <v>0</v>
      </c>
      <c r="U24" s="89"/>
      <c r="V24" s="89">
        <f t="shared" si="1"/>
        <v>0</v>
      </c>
      <c r="W24" s="89">
        <f t="shared" si="2"/>
        <v>0</v>
      </c>
      <c r="X24" s="89">
        <f t="shared" si="3"/>
        <v>0</v>
      </c>
      <c r="Y24" s="89">
        <f t="shared" si="12"/>
        <v>0</v>
      </c>
      <c r="Z24" s="89">
        <f t="shared" si="13"/>
        <v>0</v>
      </c>
      <c r="AA24" s="89">
        <f t="shared" si="4"/>
        <v>0</v>
      </c>
      <c r="AB24" s="89">
        <f t="shared" si="14"/>
        <v>0</v>
      </c>
      <c r="AC24" s="89">
        <f t="shared" si="5"/>
        <v>0</v>
      </c>
      <c r="AD24" s="89">
        <f t="shared" si="6"/>
        <v>0</v>
      </c>
      <c r="AE24" s="89">
        <f t="shared" si="7"/>
        <v>0</v>
      </c>
      <c r="AF24" s="89">
        <f t="shared" si="8"/>
        <v>0</v>
      </c>
      <c r="AG24" s="89">
        <f t="shared" si="9"/>
        <v>0</v>
      </c>
      <c r="AH24" s="89">
        <f t="shared" si="10"/>
        <v>0</v>
      </c>
      <c r="AI24" s="89">
        <v>0</v>
      </c>
      <c r="AJ24" s="89"/>
      <c r="AK24" s="89">
        <v>0</v>
      </c>
      <c r="AL24" s="153">
        <f t="shared" si="19"/>
        <v>0</v>
      </c>
      <c r="AM24" s="120"/>
      <c r="AN24" s="301"/>
      <c r="AO24" s="192" t="s">
        <v>268</v>
      </c>
      <c r="AP24" s="140">
        <v>1</v>
      </c>
      <c r="AQ24" s="142" t="s">
        <v>85</v>
      </c>
      <c r="AR24" s="120"/>
      <c r="AT24" s="42" t="s">
        <v>199</v>
      </c>
      <c r="AU24" s="43"/>
      <c r="AX24" s="63" t="s">
        <v>279</v>
      </c>
      <c r="AY24" s="64">
        <f>SUM(X5:X16)</f>
        <v>0</v>
      </c>
      <c r="AZ24" s="64">
        <f>SUM(X220:X236)</f>
        <v>123.81666666666665</v>
      </c>
      <c r="BA24" s="64">
        <v>172.26666666666665</v>
      </c>
      <c r="BB24" s="64">
        <f>SUM(X20:X34)</f>
        <v>0</v>
      </c>
      <c r="BC24" s="64">
        <f>SUM(X38:X58)</f>
        <v>258.39999999999998</v>
      </c>
      <c r="BD24" s="64">
        <v>0</v>
      </c>
      <c r="BE24" s="64">
        <v>204.56666666666666</v>
      </c>
      <c r="BF24" s="64">
        <v>204.56666666666666</v>
      </c>
      <c r="BG24" s="64">
        <v>204.56666666666666</v>
      </c>
      <c r="BH24" s="64">
        <v>129.19999999999999</v>
      </c>
      <c r="BI24" s="64">
        <v>161.5</v>
      </c>
      <c r="BJ24"/>
      <c r="BK24"/>
      <c r="BL24"/>
      <c r="BM24"/>
      <c r="BN24"/>
      <c r="BO24"/>
      <c r="BP24"/>
      <c r="BQ24"/>
      <c r="BR24"/>
      <c r="BS24"/>
      <c r="BT24"/>
      <c r="BU24"/>
    </row>
    <row r="25" spans="1:73" ht="23.25">
      <c r="A25" s="103"/>
      <c r="B25" s="303"/>
      <c r="C25" s="84">
        <v>6</v>
      </c>
      <c r="D25" s="85" t="s">
        <v>471</v>
      </c>
      <c r="E25" s="151" t="s">
        <v>150</v>
      </c>
      <c r="F25" s="85">
        <v>0</v>
      </c>
      <c r="G25" s="85">
        <v>30</v>
      </c>
      <c r="H25" s="85">
        <v>30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0</v>
      </c>
      <c r="P25" s="85">
        <v>0</v>
      </c>
      <c r="Q25" s="85">
        <v>0</v>
      </c>
      <c r="R25" s="85">
        <v>0</v>
      </c>
      <c r="S25" s="85">
        <v>0</v>
      </c>
      <c r="T25" s="85">
        <f t="shared" si="0"/>
        <v>0</v>
      </c>
      <c r="U25" s="89"/>
      <c r="V25" s="89">
        <f t="shared" si="1"/>
        <v>0</v>
      </c>
      <c r="W25" s="89">
        <f t="shared" si="2"/>
        <v>0</v>
      </c>
      <c r="X25" s="89">
        <f t="shared" si="3"/>
        <v>0</v>
      </c>
      <c r="Y25" s="89">
        <f t="shared" si="12"/>
        <v>0</v>
      </c>
      <c r="Z25" s="89">
        <f>IF(ISNUMBER(SEARCH("CCR4", E25)),(T25-K25)*$Z$3, 0)</f>
        <v>0</v>
      </c>
      <c r="AA25" s="89">
        <f t="shared" si="4"/>
        <v>0</v>
      </c>
      <c r="AB25" s="89">
        <f t="shared" si="14"/>
        <v>0</v>
      </c>
      <c r="AC25" s="89">
        <f t="shared" si="5"/>
        <v>0</v>
      </c>
      <c r="AD25" s="89">
        <f t="shared" si="6"/>
        <v>0</v>
      </c>
      <c r="AE25" s="89">
        <f t="shared" si="7"/>
        <v>0</v>
      </c>
      <c r="AF25" s="89">
        <f t="shared" si="8"/>
        <v>0</v>
      </c>
      <c r="AG25" s="89">
        <f t="shared" si="9"/>
        <v>0</v>
      </c>
      <c r="AH25" s="89">
        <f t="shared" si="10"/>
        <v>0</v>
      </c>
      <c r="AI25" s="89">
        <v>0</v>
      </c>
      <c r="AJ25" s="89"/>
      <c r="AK25" s="89">
        <v>0</v>
      </c>
      <c r="AL25" s="153">
        <f t="shared" si="19"/>
        <v>0</v>
      </c>
      <c r="AM25" s="120"/>
      <c r="AN25" s="301"/>
      <c r="AO25" s="192" t="s">
        <v>60</v>
      </c>
      <c r="AP25" s="140">
        <v>1</v>
      </c>
      <c r="AQ25" s="142" t="s">
        <v>86</v>
      </c>
      <c r="AR25" s="120"/>
      <c r="AT25" s="44" t="s">
        <v>222</v>
      </c>
      <c r="AU25" s="45">
        <f>SUM(AL30:AL31)</f>
        <v>0</v>
      </c>
      <c r="AX25" s="63" t="s">
        <v>122</v>
      </c>
      <c r="AY25" s="64">
        <f>SUM(Y5:Y16)</f>
        <v>50.212500000000013</v>
      </c>
      <c r="AZ25" s="64">
        <f>SUM(Y220:Y236)</f>
        <v>96.240625000000009</v>
      </c>
      <c r="BA25" s="64">
        <v>150.63750000000002</v>
      </c>
      <c r="BB25" s="64">
        <f>SUM(Y20:Y34)</f>
        <v>0</v>
      </c>
      <c r="BC25" s="64">
        <f>SUM(Y38:Y58)</f>
        <v>196.66562500000003</v>
      </c>
      <c r="BD25" s="64">
        <v>0</v>
      </c>
      <c r="BE25" s="64">
        <v>288.72187500000007</v>
      </c>
      <c r="BF25" s="64">
        <v>292.90625000000006</v>
      </c>
      <c r="BG25" s="64">
        <v>288.72187500000007</v>
      </c>
      <c r="BH25" s="64">
        <v>154.82187500000003</v>
      </c>
      <c r="BI25" s="64">
        <v>179.92812500000002</v>
      </c>
      <c r="BJ25"/>
      <c r="BK25"/>
      <c r="BL25"/>
      <c r="BM25"/>
      <c r="BN25"/>
      <c r="BO25"/>
      <c r="BP25"/>
      <c r="BQ25"/>
      <c r="BR25"/>
      <c r="BS25"/>
      <c r="BT25"/>
      <c r="BU25"/>
    </row>
    <row r="26" spans="1:73" ht="23.25">
      <c r="A26" s="103"/>
      <c r="B26" s="303"/>
      <c r="C26" s="84">
        <v>7</v>
      </c>
      <c r="D26" s="85" t="s">
        <v>469</v>
      </c>
      <c r="E26" s="151" t="s">
        <v>52</v>
      </c>
      <c r="F26" s="85">
        <f>AP25-F23</f>
        <v>0</v>
      </c>
      <c r="G26" s="85">
        <v>10</v>
      </c>
      <c r="H26" s="85">
        <v>0</v>
      </c>
      <c r="I26" s="85">
        <v>0</v>
      </c>
      <c r="J26" s="85">
        <v>5</v>
      </c>
      <c r="K26" s="85">
        <v>0</v>
      </c>
      <c r="L26" s="85">
        <v>0</v>
      </c>
      <c r="M26" s="85">
        <v>0</v>
      </c>
      <c r="N26" s="85">
        <v>0</v>
      </c>
      <c r="O26" s="85">
        <v>0</v>
      </c>
      <c r="P26" s="85">
        <v>0</v>
      </c>
      <c r="Q26" s="85">
        <v>0</v>
      </c>
      <c r="R26" s="85">
        <v>0</v>
      </c>
      <c r="S26" s="85">
        <v>0</v>
      </c>
      <c r="T26" s="85">
        <f t="shared" si="0"/>
        <v>0</v>
      </c>
      <c r="U26" s="89"/>
      <c r="V26" s="89">
        <f t="shared" si="1"/>
        <v>0</v>
      </c>
      <c r="W26" s="89">
        <f t="shared" si="2"/>
        <v>0</v>
      </c>
      <c r="X26" s="89">
        <f t="shared" si="3"/>
        <v>0</v>
      </c>
      <c r="Y26" s="89">
        <f t="shared" si="12"/>
        <v>0</v>
      </c>
      <c r="Z26" s="89">
        <f t="shared" si="13"/>
        <v>0</v>
      </c>
      <c r="AA26" s="89">
        <f t="shared" si="4"/>
        <v>0</v>
      </c>
      <c r="AB26" s="89">
        <f t="shared" si="14"/>
        <v>0</v>
      </c>
      <c r="AC26" s="89">
        <f t="shared" si="5"/>
        <v>0</v>
      </c>
      <c r="AD26" s="89">
        <f t="shared" si="6"/>
        <v>0</v>
      </c>
      <c r="AE26" s="89">
        <f t="shared" si="7"/>
        <v>0</v>
      </c>
      <c r="AF26" s="89">
        <f t="shared" si="8"/>
        <v>0</v>
      </c>
      <c r="AG26" s="89">
        <f t="shared" si="9"/>
        <v>0</v>
      </c>
      <c r="AH26" s="89">
        <f t="shared" si="10"/>
        <v>0</v>
      </c>
      <c r="AI26" s="89">
        <v>0</v>
      </c>
      <c r="AJ26" s="89"/>
      <c r="AK26" s="89">
        <v>0</v>
      </c>
      <c r="AL26" s="153">
        <f t="shared" si="19"/>
        <v>0</v>
      </c>
      <c r="AM26" s="120"/>
      <c r="AN26" s="301"/>
      <c r="AO26" s="192" t="s">
        <v>59</v>
      </c>
      <c r="AP26" s="140" t="s">
        <v>18</v>
      </c>
      <c r="AQ26" s="142" t="s">
        <v>45</v>
      </c>
      <c r="AR26" s="120"/>
      <c r="AT26" s="44" t="s">
        <v>200</v>
      </c>
      <c r="AU26" s="45">
        <f>SUM(AL20:AL29)</f>
        <v>55.913309489357729</v>
      </c>
      <c r="AX26" s="63" t="s">
        <v>207</v>
      </c>
      <c r="AY26" s="64">
        <f>SUM(Z5:Z16)</f>
        <v>14.486924991868587</v>
      </c>
      <c r="AZ26" s="64">
        <f>SUM(Z220:Z236)</f>
        <v>31.043410696861255</v>
      </c>
      <c r="BA26" s="64">
        <v>55.878139254350259</v>
      </c>
      <c r="BB26" s="64">
        <f>SUM(Z20:Z34)</f>
        <v>12.417364278744502</v>
      </c>
      <c r="BC26" s="64">
        <f>SUM(Z38:Z58)</f>
        <v>80.712867811839274</v>
      </c>
      <c r="BD26" s="64">
        <v>6.2086821393722511</v>
      </c>
      <c r="BE26" s="64">
        <v>91.060671377459698</v>
      </c>
      <c r="BF26" s="64">
        <v>91.060671377459698</v>
      </c>
      <c r="BG26" s="64">
        <v>91.060671377459698</v>
      </c>
      <c r="BH26" s="64">
        <v>55.878139254350259</v>
      </c>
      <c r="BI26" s="64">
        <v>55.878139254350259</v>
      </c>
      <c r="BJ26"/>
      <c r="BK26"/>
      <c r="BL26"/>
      <c r="BM26"/>
      <c r="BN26"/>
      <c r="BO26"/>
      <c r="BP26"/>
      <c r="BQ26"/>
      <c r="BR26"/>
      <c r="BS26"/>
      <c r="BT26"/>
      <c r="BU26"/>
    </row>
    <row r="27" spans="1:73" ht="23.25">
      <c r="A27" s="103"/>
      <c r="B27" s="303"/>
      <c r="C27" s="84">
        <v>8</v>
      </c>
      <c r="D27" s="85" t="s">
        <v>470</v>
      </c>
      <c r="E27" s="151" t="s">
        <v>50</v>
      </c>
      <c r="F27" s="85">
        <v>0</v>
      </c>
      <c r="G27" s="85">
        <v>30</v>
      </c>
      <c r="H27" s="85">
        <v>30</v>
      </c>
      <c r="I27" s="85">
        <v>0</v>
      </c>
      <c r="J27" s="85">
        <v>0</v>
      </c>
      <c r="K27" s="85">
        <v>0</v>
      </c>
      <c r="L27" s="85">
        <v>0</v>
      </c>
      <c r="M27" s="85">
        <v>0</v>
      </c>
      <c r="N27" s="85">
        <v>0</v>
      </c>
      <c r="O27" s="85">
        <v>0</v>
      </c>
      <c r="P27" s="85">
        <v>0</v>
      </c>
      <c r="Q27" s="85">
        <v>0</v>
      </c>
      <c r="R27" s="85">
        <v>0</v>
      </c>
      <c r="S27" s="85">
        <v>0</v>
      </c>
      <c r="T27" s="85">
        <f t="shared" si="0"/>
        <v>0</v>
      </c>
      <c r="U27" s="89"/>
      <c r="V27" s="89">
        <f t="shared" si="1"/>
        <v>0</v>
      </c>
      <c r="W27" s="89">
        <f t="shared" si="2"/>
        <v>0</v>
      </c>
      <c r="X27" s="89">
        <f t="shared" si="3"/>
        <v>0</v>
      </c>
      <c r="Y27" s="89">
        <f t="shared" si="12"/>
        <v>0</v>
      </c>
      <c r="Z27" s="89">
        <f t="shared" si="13"/>
        <v>0</v>
      </c>
      <c r="AA27" s="89">
        <f t="shared" si="4"/>
        <v>0</v>
      </c>
      <c r="AB27" s="89">
        <f t="shared" si="14"/>
        <v>0</v>
      </c>
      <c r="AC27" s="89">
        <f t="shared" si="5"/>
        <v>0</v>
      </c>
      <c r="AD27" s="89">
        <f t="shared" si="6"/>
        <v>0</v>
      </c>
      <c r="AE27" s="89">
        <f t="shared" si="7"/>
        <v>0</v>
      </c>
      <c r="AF27" s="89">
        <f t="shared" si="8"/>
        <v>0</v>
      </c>
      <c r="AG27" s="89">
        <f t="shared" si="9"/>
        <v>0</v>
      </c>
      <c r="AH27" s="89">
        <f t="shared" si="10"/>
        <v>0</v>
      </c>
      <c r="AI27" s="89">
        <v>0</v>
      </c>
      <c r="AJ27" s="89"/>
      <c r="AK27" s="89">
        <v>0</v>
      </c>
      <c r="AL27" s="153">
        <f t="shared" si="19"/>
        <v>0</v>
      </c>
      <c r="AM27" s="120"/>
      <c r="AN27" s="301"/>
      <c r="AO27" s="192" t="s">
        <v>297</v>
      </c>
      <c r="AP27" s="140" t="s">
        <v>17</v>
      </c>
      <c r="AQ27" s="142" t="s">
        <v>57</v>
      </c>
      <c r="AR27" s="120"/>
      <c r="AT27" s="44" t="s">
        <v>201</v>
      </c>
      <c r="AU27" s="46"/>
      <c r="AX27" s="63" t="s">
        <v>123</v>
      </c>
      <c r="AY27" s="64">
        <f>SUM(AA5:AA16)</f>
        <v>0</v>
      </c>
      <c r="AZ27" s="64">
        <f>SUM(AA220:AA236)</f>
        <v>0</v>
      </c>
      <c r="BA27" s="64">
        <v>0</v>
      </c>
      <c r="BB27" s="64">
        <f>SUM(AA20:AA34)</f>
        <v>0</v>
      </c>
      <c r="BC27" s="64">
        <f>SUM(AA38:AA58)</f>
        <v>0</v>
      </c>
      <c r="BD27" s="64">
        <v>0</v>
      </c>
      <c r="BE27" s="64">
        <v>0</v>
      </c>
      <c r="BF27" s="64">
        <v>0</v>
      </c>
      <c r="BG27" s="64">
        <v>0</v>
      </c>
      <c r="BH27" s="64">
        <v>0</v>
      </c>
      <c r="BI27" s="64">
        <v>0</v>
      </c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 ht="23.25">
      <c r="A28" s="103"/>
      <c r="B28" s="303"/>
      <c r="C28" s="84">
        <v>9</v>
      </c>
      <c r="D28" s="85" t="s">
        <v>469</v>
      </c>
      <c r="E28" s="151" t="s">
        <v>52</v>
      </c>
      <c r="F28" s="85">
        <f>AP25-F23-F26</f>
        <v>0</v>
      </c>
      <c r="G28" s="85">
        <v>10</v>
      </c>
      <c r="H28" s="85">
        <v>0</v>
      </c>
      <c r="I28" s="85">
        <v>0</v>
      </c>
      <c r="J28" s="85">
        <v>5</v>
      </c>
      <c r="K28" s="85">
        <v>0</v>
      </c>
      <c r="L28" s="85">
        <v>0</v>
      </c>
      <c r="M28" s="85">
        <v>0</v>
      </c>
      <c r="N28" s="85">
        <v>0</v>
      </c>
      <c r="O28" s="85">
        <v>0</v>
      </c>
      <c r="P28" s="85">
        <v>0</v>
      </c>
      <c r="Q28" s="85">
        <v>0</v>
      </c>
      <c r="R28" s="85">
        <v>0</v>
      </c>
      <c r="S28" s="85">
        <v>0</v>
      </c>
      <c r="T28" s="85">
        <f t="shared" si="0"/>
        <v>0</v>
      </c>
      <c r="U28" s="89"/>
      <c r="V28" s="89">
        <f t="shared" si="1"/>
        <v>0</v>
      </c>
      <c r="W28" s="89">
        <f t="shared" si="2"/>
        <v>0</v>
      </c>
      <c r="X28" s="89">
        <f t="shared" si="3"/>
        <v>0</v>
      </c>
      <c r="Y28" s="89">
        <f t="shared" si="12"/>
        <v>0</v>
      </c>
      <c r="Z28" s="89">
        <f t="shared" si="13"/>
        <v>0</v>
      </c>
      <c r="AA28" s="89">
        <f t="shared" si="4"/>
        <v>0</v>
      </c>
      <c r="AB28" s="89">
        <f t="shared" si="14"/>
        <v>0</v>
      </c>
      <c r="AC28" s="89">
        <f t="shared" si="5"/>
        <v>0</v>
      </c>
      <c r="AD28" s="89">
        <f t="shared" si="6"/>
        <v>0</v>
      </c>
      <c r="AE28" s="89">
        <f t="shared" si="7"/>
        <v>0</v>
      </c>
      <c r="AF28" s="89">
        <f t="shared" si="8"/>
        <v>0</v>
      </c>
      <c r="AG28" s="89">
        <f t="shared" si="9"/>
        <v>0</v>
      </c>
      <c r="AH28" s="89">
        <f t="shared" si="10"/>
        <v>0</v>
      </c>
      <c r="AI28" s="89">
        <v>0</v>
      </c>
      <c r="AJ28" s="89"/>
      <c r="AK28" s="89">
        <v>0</v>
      </c>
      <c r="AL28" s="153">
        <f t="shared" si="19"/>
        <v>0</v>
      </c>
      <c r="AM28" s="120"/>
      <c r="AN28" s="301"/>
      <c r="AO28" s="193" t="s">
        <v>298</v>
      </c>
      <c r="AP28" s="164" t="s">
        <v>18</v>
      </c>
      <c r="AQ28" s="165" t="s">
        <v>57</v>
      </c>
      <c r="AR28" s="120"/>
      <c r="AT28" s="44" t="s">
        <v>223</v>
      </c>
      <c r="AU28" s="46"/>
      <c r="AX28" s="63" t="s">
        <v>208</v>
      </c>
      <c r="AY28" s="64">
        <f>SUM(AB5:AB16)</f>
        <v>142.12885491071427</v>
      </c>
      <c r="AZ28" s="64">
        <f>SUM(AB220:AB236)</f>
        <v>107.9010543154762</v>
      </c>
      <c r="BA28" s="64">
        <v>107.9010543154762</v>
      </c>
      <c r="BB28" s="64">
        <f>SUM(AB20:AB34)</f>
        <v>0</v>
      </c>
      <c r="BC28" s="64">
        <f>SUM(AB38:AB58)</f>
        <v>0</v>
      </c>
      <c r="BD28" s="64">
        <v>155.91505237268518</v>
      </c>
      <c r="BE28" s="64">
        <v>653.66750892857135</v>
      </c>
      <c r="BF28" s="64">
        <v>928.52423106548349</v>
      </c>
      <c r="BG28" s="64">
        <v>806.58359109672392</v>
      </c>
      <c r="BH28" s="64">
        <v>230.35488691539118</v>
      </c>
      <c r="BI28" s="64">
        <v>230.35488691539118</v>
      </c>
      <c r="BJ28"/>
      <c r="BK28"/>
      <c r="BL28"/>
      <c r="BM28"/>
      <c r="BN28"/>
      <c r="BO28"/>
      <c r="BP28"/>
      <c r="BQ28"/>
      <c r="BR28"/>
      <c r="BS28"/>
      <c r="BT28"/>
      <c r="BU28"/>
    </row>
    <row r="29" spans="1:73" ht="23.25">
      <c r="A29" s="103"/>
      <c r="B29" s="303"/>
      <c r="C29" s="84">
        <v>10</v>
      </c>
      <c r="D29" s="85" t="s">
        <v>471</v>
      </c>
      <c r="E29" s="151" t="s">
        <v>150</v>
      </c>
      <c r="F29" s="85">
        <v>0</v>
      </c>
      <c r="G29" s="85">
        <v>30</v>
      </c>
      <c r="H29" s="85">
        <v>30</v>
      </c>
      <c r="I29" s="85">
        <v>0</v>
      </c>
      <c r="J29" s="85">
        <v>0</v>
      </c>
      <c r="K29" s="85">
        <v>0</v>
      </c>
      <c r="L29" s="85">
        <v>0</v>
      </c>
      <c r="M29" s="85">
        <v>0</v>
      </c>
      <c r="N29" s="85">
        <v>0</v>
      </c>
      <c r="O29" s="85">
        <v>0</v>
      </c>
      <c r="P29" s="85">
        <v>0</v>
      </c>
      <c r="Q29" s="85">
        <v>0</v>
      </c>
      <c r="R29" s="85">
        <v>0</v>
      </c>
      <c r="S29" s="85">
        <v>0</v>
      </c>
      <c r="T29" s="85">
        <f>SUM(H29:S29)*F29</f>
        <v>0</v>
      </c>
      <c r="U29" s="89"/>
      <c r="V29" s="89">
        <f>T29*$V$3*F29</f>
        <v>0</v>
      </c>
      <c r="W29" s="89">
        <f>H29*$W$3*F29</f>
        <v>0</v>
      </c>
      <c r="X29" s="89">
        <f t="shared" si="3"/>
        <v>0</v>
      </c>
      <c r="Y29" s="89">
        <f>J29*$Y$3*F29</f>
        <v>0</v>
      </c>
      <c r="Z29" s="89">
        <f>IF(ISNUMBER(SEARCH("CCR4", E29)),(T29-K29)*$Z$3, 0)</f>
        <v>0</v>
      </c>
      <c r="AA29" s="89">
        <f t="shared" si="4"/>
        <v>0</v>
      </c>
      <c r="AB29" s="89">
        <f t="shared" si="14"/>
        <v>0</v>
      </c>
      <c r="AC29" s="89">
        <f t="shared" si="5"/>
        <v>0</v>
      </c>
      <c r="AD29" s="89">
        <f t="shared" si="6"/>
        <v>0</v>
      </c>
      <c r="AE29" s="89">
        <f t="shared" si="7"/>
        <v>0</v>
      </c>
      <c r="AF29" s="89">
        <f t="shared" si="8"/>
        <v>0</v>
      </c>
      <c r="AG29" s="89">
        <f t="shared" si="9"/>
        <v>0</v>
      </c>
      <c r="AH29" s="89">
        <f t="shared" si="10"/>
        <v>0</v>
      </c>
      <c r="AI29" s="89">
        <v>0</v>
      </c>
      <c r="AJ29" s="89"/>
      <c r="AK29" s="89">
        <v>0</v>
      </c>
      <c r="AL29" s="153">
        <f t="shared" si="19"/>
        <v>0</v>
      </c>
      <c r="AM29" s="120"/>
      <c r="AN29" s="162"/>
      <c r="AO29" s="162"/>
      <c r="AP29" s="162"/>
      <c r="AQ29" s="160"/>
      <c r="AR29" s="120"/>
      <c r="AT29" s="44" t="s">
        <v>202</v>
      </c>
      <c r="AU29" s="46"/>
      <c r="AX29" s="63" t="s">
        <v>209</v>
      </c>
      <c r="AY29" s="64">
        <f>SUM(AC5:AC16)</f>
        <v>30.393176207497106</v>
      </c>
      <c r="AZ29" s="64">
        <f>SUM(AC220:AC236)</f>
        <v>23.073820997468438</v>
      </c>
      <c r="BA29" s="64">
        <v>23.073820997468438</v>
      </c>
      <c r="BB29" s="64">
        <v>0</v>
      </c>
      <c r="BC29" s="64">
        <f>SUM(AC38:AC58)</f>
        <v>0</v>
      </c>
      <c r="BD29" s="64">
        <v>33.341249833758653</v>
      </c>
      <c r="BE29" s="64">
        <v>86.537986294180456</v>
      </c>
      <c r="BF29" s="64">
        <v>156.27351598591781</v>
      </c>
      <c r="BG29" s="64">
        <v>125.53636817462353</v>
      </c>
      <c r="BH29" s="64">
        <v>0</v>
      </c>
      <c r="BI29" s="64">
        <v>0</v>
      </c>
      <c r="BJ29"/>
      <c r="BK29"/>
      <c r="BL29"/>
      <c r="BM29"/>
      <c r="BN29"/>
      <c r="BO29"/>
      <c r="BP29"/>
      <c r="BQ29"/>
      <c r="BR29"/>
      <c r="BS29"/>
      <c r="BT29"/>
      <c r="BU29"/>
    </row>
    <row r="30" spans="1:73" ht="23.25">
      <c r="A30" s="103"/>
      <c r="B30" s="303"/>
      <c r="C30" s="84">
        <v>11</v>
      </c>
      <c r="D30" s="85" t="s">
        <v>472</v>
      </c>
      <c r="E30" s="151" t="s">
        <v>147</v>
      </c>
      <c r="F30" s="85">
        <f>IF($AP$22="no", 0, 1)</f>
        <v>0</v>
      </c>
      <c r="G30" s="85">
        <v>30</v>
      </c>
      <c r="H30" s="85">
        <v>60</v>
      </c>
      <c r="I30" s="85">
        <v>0</v>
      </c>
      <c r="J30" s="85">
        <v>40</v>
      </c>
      <c r="K30" s="85">
        <v>0</v>
      </c>
      <c r="L30" s="85">
        <v>0</v>
      </c>
      <c r="M30" s="85">
        <v>40</v>
      </c>
      <c r="N30" s="85">
        <v>40</v>
      </c>
      <c r="O30" s="85">
        <v>0</v>
      </c>
      <c r="P30" s="85">
        <v>0</v>
      </c>
      <c r="Q30" s="85">
        <v>0</v>
      </c>
      <c r="R30" s="85">
        <v>0</v>
      </c>
      <c r="S30" s="85">
        <v>0</v>
      </c>
      <c r="T30" s="85">
        <f t="shared" si="0"/>
        <v>0</v>
      </c>
      <c r="U30" s="89"/>
      <c r="V30" s="89">
        <f t="shared" si="1"/>
        <v>0</v>
      </c>
      <c r="W30" s="89">
        <f t="shared" si="2"/>
        <v>0</v>
      </c>
      <c r="X30" s="89">
        <f t="shared" si="3"/>
        <v>0</v>
      </c>
      <c r="Y30" s="89">
        <f t="shared" si="12"/>
        <v>0</v>
      </c>
      <c r="Z30" s="89">
        <f t="shared" si="13"/>
        <v>0</v>
      </c>
      <c r="AA30" s="89">
        <f t="shared" si="4"/>
        <v>0</v>
      </c>
      <c r="AB30" s="89">
        <f t="shared" si="14"/>
        <v>0</v>
      </c>
      <c r="AC30" s="89">
        <f t="shared" si="5"/>
        <v>0</v>
      </c>
      <c r="AD30" s="89">
        <f t="shared" si="6"/>
        <v>0</v>
      </c>
      <c r="AE30" s="89">
        <f t="shared" si="7"/>
        <v>0</v>
      </c>
      <c r="AF30" s="89">
        <f t="shared" si="8"/>
        <v>0</v>
      </c>
      <c r="AG30" s="89">
        <f>IF(ISNUMBER(SEARCH("CCR11", E30)),T30*$AG$3, 0)</f>
        <v>0</v>
      </c>
      <c r="AH30" s="89">
        <f t="shared" si="10"/>
        <v>0</v>
      </c>
      <c r="AI30" s="89">
        <v>0</v>
      </c>
      <c r="AJ30" s="89"/>
      <c r="AK30" s="89">
        <v>0</v>
      </c>
      <c r="AL30" s="154">
        <f t="shared" si="19"/>
        <v>0</v>
      </c>
      <c r="AM30" s="120"/>
      <c r="AN30" s="162"/>
      <c r="AO30" s="162"/>
      <c r="AP30" s="162"/>
      <c r="AQ30" s="160"/>
      <c r="AR30" s="120"/>
      <c r="AT30" s="44" t="s">
        <v>224</v>
      </c>
      <c r="AU30" s="46"/>
      <c r="AX30" s="63" t="s">
        <v>191</v>
      </c>
      <c r="AY30" s="64">
        <f>SUM(AD5:AD16)</f>
        <v>0</v>
      </c>
      <c r="AZ30" s="64">
        <f>SUM(AD220:AD236)</f>
        <v>0</v>
      </c>
      <c r="BA30" s="64">
        <v>0</v>
      </c>
      <c r="BB30" s="64">
        <v>0</v>
      </c>
      <c r="BC30" s="64">
        <f>SUM(AD38:AD58)</f>
        <v>0</v>
      </c>
      <c r="BD30" s="64">
        <v>0</v>
      </c>
      <c r="BE30" s="64">
        <v>384.74010655052138</v>
      </c>
      <c r="BF30" s="64">
        <v>424.18234313810706</v>
      </c>
      <c r="BG30" s="64">
        <v>299.62673765535203</v>
      </c>
      <c r="BH30" s="64">
        <v>175.98927203439092</v>
      </c>
      <c r="BI30" s="64">
        <v>175.98927203439092</v>
      </c>
      <c r="BJ30"/>
      <c r="BK30"/>
      <c r="BL30"/>
      <c r="BM30"/>
      <c r="BN30"/>
      <c r="BO30"/>
      <c r="BP30"/>
      <c r="BQ30"/>
      <c r="BR30"/>
      <c r="BS30"/>
      <c r="BT30"/>
      <c r="BU30"/>
    </row>
    <row r="31" spans="1:73" ht="24" thickBot="1">
      <c r="A31" s="103"/>
      <c r="B31" s="303"/>
      <c r="C31" s="85">
        <v>12</v>
      </c>
      <c r="D31" s="85" t="s">
        <v>473</v>
      </c>
      <c r="E31" s="151" t="s">
        <v>162</v>
      </c>
      <c r="F31" s="85">
        <f>IF($AP$23="no", 0, 1)</f>
        <v>0</v>
      </c>
      <c r="G31" s="85">
        <v>60</v>
      </c>
      <c r="H31" s="85">
        <v>120</v>
      </c>
      <c r="I31" s="85">
        <v>0</v>
      </c>
      <c r="J31" s="85">
        <v>120</v>
      </c>
      <c r="K31" s="85">
        <v>0</v>
      </c>
      <c r="L31" s="85">
        <v>0</v>
      </c>
      <c r="M31" s="85">
        <v>0</v>
      </c>
      <c r="N31" s="85">
        <v>0</v>
      </c>
      <c r="O31" s="85">
        <v>40</v>
      </c>
      <c r="P31" s="85">
        <v>40</v>
      </c>
      <c r="Q31" s="85">
        <v>30</v>
      </c>
      <c r="R31" s="85">
        <v>0</v>
      </c>
      <c r="S31" s="85">
        <v>0</v>
      </c>
      <c r="T31" s="85">
        <f t="shared" si="0"/>
        <v>0</v>
      </c>
      <c r="U31" s="89"/>
      <c r="V31" s="89">
        <f t="shared" si="1"/>
        <v>0</v>
      </c>
      <c r="W31" s="89">
        <f t="shared" si="2"/>
        <v>0</v>
      </c>
      <c r="X31" s="89">
        <f t="shared" si="3"/>
        <v>0</v>
      </c>
      <c r="Y31" s="89">
        <f t="shared" si="12"/>
        <v>0</v>
      </c>
      <c r="Z31" s="89">
        <f t="shared" si="13"/>
        <v>0</v>
      </c>
      <c r="AA31" s="89">
        <f t="shared" si="4"/>
        <v>0</v>
      </c>
      <c r="AB31" s="89">
        <f t="shared" si="14"/>
        <v>0</v>
      </c>
      <c r="AC31" s="89">
        <f t="shared" si="5"/>
        <v>0</v>
      </c>
      <c r="AD31" s="89">
        <f t="shared" si="6"/>
        <v>0</v>
      </c>
      <c r="AE31" s="89">
        <f t="shared" si="7"/>
        <v>0</v>
      </c>
      <c r="AF31" s="89">
        <f t="shared" si="8"/>
        <v>0</v>
      </c>
      <c r="AG31" s="89">
        <f t="shared" si="9"/>
        <v>0</v>
      </c>
      <c r="AH31" s="89">
        <f t="shared" si="10"/>
        <v>0</v>
      </c>
      <c r="AI31" s="89">
        <v>0</v>
      </c>
      <c r="AJ31" s="89"/>
      <c r="AK31" s="89">
        <v>0</v>
      </c>
      <c r="AL31" s="154">
        <f t="shared" si="19"/>
        <v>0</v>
      </c>
      <c r="AM31" s="120"/>
      <c r="AN31" s="162"/>
      <c r="AO31" s="162"/>
      <c r="AP31" s="162"/>
      <c r="AQ31" s="160"/>
      <c r="AR31" s="120"/>
      <c r="AT31" s="44" t="s">
        <v>203</v>
      </c>
      <c r="AU31" s="50">
        <f>SUM(AL32:AL34)</f>
        <v>165.51060223617543</v>
      </c>
      <c r="AX31" s="63" t="s">
        <v>192</v>
      </c>
      <c r="AY31" s="64">
        <f>SUM(AE5:AE16)</f>
        <v>0</v>
      </c>
      <c r="AZ31" s="64">
        <f>SUM(AE220:AE236)</f>
        <v>0</v>
      </c>
      <c r="BA31" s="64">
        <v>0</v>
      </c>
      <c r="BB31" s="64">
        <v>0</v>
      </c>
      <c r="BC31" s="64">
        <f>SUM(AE38:AE58)</f>
        <v>0</v>
      </c>
      <c r="BD31" s="64">
        <v>0</v>
      </c>
      <c r="BE31" s="64">
        <v>0</v>
      </c>
      <c r="BF31" s="64">
        <v>180.26579977536608</v>
      </c>
      <c r="BG31" s="64">
        <v>210.51535521478897</v>
      </c>
      <c r="BH31" s="64">
        <v>0</v>
      </c>
      <c r="BI31" s="64">
        <v>0</v>
      </c>
      <c r="BJ31"/>
      <c r="BK31"/>
      <c r="BL31"/>
      <c r="BM31"/>
      <c r="BN31"/>
      <c r="BO31"/>
      <c r="BP31"/>
      <c r="BQ31"/>
      <c r="BR31"/>
      <c r="BS31"/>
      <c r="BT31"/>
      <c r="BU31"/>
    </row>
    <row r="32" spans="1:73" ht="24" thickTop="1">
      <c r="A32" s="103"/>
      <c r="B32" s="303"/>
      <c r="C32" s="85">
        <v>13</v>
      </c>
      <c r="D32" s="85" t="s">
        <v>471</v>
      </c>
      <c r="E32" s="151" t="s">
        <v>150</v>
      </c>
      <c r="F32" s="85">
        <v>0</v>
      </c>
      <c r="G32" s="85">
        <v>30</v>
      </c>
      <c r="H32" s="85">
        <v>30</v>
      </c>
      <c r="I32" s="85">
        <v>0</v>
      </c>
      <c r="J32" s="85">
        <v>0</v>
      </c>
      <c r="K32" s="85">
        <v>0</v>
      </c>
      <c r="L32" s="85">
        <v>0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f t="shared" si="0"/>
        <v>0</v>
      </c>
      <c r="U32" s="89"/>
      <c r="V32" s="89">
        <f t="shared" si="1"/>
        <v>0</v>
      </c>
      <c r="W32" s="89">
        <f t="shared" si="2"/>
        <v>0</v>
      </c>
      <c r="X32" s="89">
        <f t="shared" si="3"/>
        <v>0</v>
      </c>
      <c r="Y32" s="89">
        <f t="shared" si="12"/>
        <v>0</v>
      </c>
      <c r="Z32" s="89">
        <f t="shared" si="13"/>
        <v>0</v>
      </c>
      <c r="AA32" s="89">
        <f t="shared" si="4"/>
        <v>0</v>
      </c>
      <c r="AB32" s="89">
        <f t="shared" si="14"/>
        <v>0</v>
      </c>
      <c r="AC32" s="89">
        <f t="shared" si="5"/>
        <v>0</v>
      </c>
      <c r="AD32" s="89">
        <f t="shared" si="6"/>
        <v>0</v>
      </c>
      <c r="AE32" s="89">
        <f t="shared" si="7"/>
        <v>0</v>
      </c>
      <c r="AF32" s="89">
        <f t="shared" si="8"/>
        <v>0</v>
      </c>
      <c r="AG32" s="89">
        <f t="shared" si="9"/>
        <v>0</v>
      </c>
      <c r="AH32" s="89">
        <f t="shared" si="10"/>
        <v>0</v>
      </c>
      <c r="AI32" s="89">
        <v>0</v>
      </c>
      <c r="AJ32" s="89"/>
      <c r="AK32" s="89">
        <v>0</v>
      </c>
      <c r="AL32" s="155">
        <f t="shared" si="19"/>
        <v>0</v>
      </c>
      <c r="AM32" s="120"/>
      <c r="AN32" s="162"/>
      <c r="AO32" s="162"/>
      <c r="AP32" s="162"/>
      <c r="AQ32" s="160"/>
      <c r="AR32" s="120"/>
      <c r="AT32" s="47" t="s">
        <v>204</v>
      </c>
      <c r="AU32" s="37">
        <f>SUM(AU25:AU31)</f>
        <v>221.42391172553317</v>
      </c>
      <c r="AX32" s="63" t="s">
        <v>193</v>
      </c>
      <c r="AY32" s="64">
        <f>SUM(AF5:AF16)</f>
        <v>0</v>
      </c>
      <c r="AZ32" s="64">
        <f>SUM(AF220:AF236)</f>
        <v>0</v>
      </c>
      <c r="BA32" s="64">
        <v>0</v>
      </c>
      <c r="BB32" s="64">
        <v>0</v>
      </c>
      <c r="BC32" s="64">
        <f>SUM(AF38:AF58)</f>
        <v>0</v>
      </c>
      <c r="BD32" s="64">
        <v>0</v>
      </c>
      <c r="BE32" s="64">
        <v>40.339411050505049</v>
      </c>
      <c r="BF32" s="64">
        <v>40.339411050505049</v>
      </c>
      <c r="BG32" s="64">
        <v>40.339411050505049</v>
      </c>
      <c r="BH32" s="64">
        <v>56.731149806608954</v>
      </c>
      <c r="BI32" s="64">
        <v>56.731149806608954</v>
      </c>
      <c r="BJ32"/>
      <c r="BK32"/>
      <c r="BL32"/>
      <c r="BM32"/>
      <c r="BN32"/>
      <c r="BO32"/>
      <c r="BP32"/>
      <c r="BQ32"/>
      <c r="BR32"/>
      <c r="BS32"/>
      <c r="BT32"/>
      <c r="BU32"/>
    </row>
    <row r="33" spans="1:73" ht="23.25">
      <c r="A33" s="103"/>
      <c r="B33" s="303"/>
      <c r="C33" s="85">
        <v>14</v>
      </c>
      <c r="D33" s="85" t="s">
        <v>474</v>
      </c>
      <c r="E33" s="151" t="s">
        <v>266</v>
      </c>
      <c r="F33" s="85">
        <v>1</v>
      </c>
      <c r="G33" s="85">
        <v>30</v>
      </c>
      <c r="H33" s="85">
        <v>30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f t="shared" si="0"/>
        <v>30</v>
      </c>
      <c r="U33" s="89"/>
      <c r="V33" s="89">
        <f t="shared" si="1"/>
        <v>3.2628689787154594</v>
      </c>
      <c r="W33" s="89">
        <f t="shared" si="2"/>
        <v>57.543749999999996</v>
      </c>
      <c r="X33" s="89">
        <f t="shared" si="3"/>
        <v>0</v>
      </c>
      <c r="Y33" s="89">
        <f t="shared" si="12"/>
        <v>0</v>
      </c>
      <c r="Z33" s="89">
        <f>IF(ISNUMBER(SEARCH("CCR4", E33)),(T33-K33)*$Z$3, 0)</f>
        <v>6.2086821393722511</v>
      </c>
      <c r="AA33" s="89">
        <f t="shared" si="4"/>
        <v>0</v>
      </c>
      <c r="AB33" s="89">
        <f t="shared" si="14"/>
        <v>0</v>
      </c>
      <c r="AC33" s="89">
        <f t="shared" si="5"/>
        <v>0</v>
      </c>
      <c r="AD33" s="89">
        <f t="shared" si="6"/>
        <v>0</v>
      </c>
      <c r="AE33" s="89">
        <f t="shared" si="7"/>
        <v>0</v>
      </c>
      <c r="AF33" s="89">
        <f t="shared" si="8"/>
        <v>0</v>
      </c>
      <c r="AG33" s="89">
        <f t="shared" si="9"/>
        <v>0</v>
      </c>
      <c r="AH33" s="89">
        <f t="shared" si="10"/>
        <v>0</v>
      </c>
      <c r="AI33" s="89">
        <v>0</v>
      </c>
      <c r="AJ33" s="89"/>
      <c r="AK33" s="89">
        <f>inputs!$E$40*F33</f>
        <v>31.48</v>
      </c>
      <c r="AL33" s="155">
        <f t="shared" si="19"/>
        <v>98.49530111808771</v>
      </c>
      <c r="AM33" s="120"/>
      <c r="AN33" s="162"/>
      <c r="AO33" s="162"/>
      <c r="AP33" s="162"/>
      <c r="AQ33" s="160"/>
      <c r="AR33" s="120"/>
      <c r="AX33" s="63" t="s">
        <v>146</v>
      </c>
      <c r="AY33" s="64">
        <f>SUM(AG5:AG16)</f>
        <v>0</v>
      </c>
      <c r="AZ33" s="64">
        <f>SUM(AG217:AG235)</f>
        <v>0</v>
      </c>
      <c r="BA33" s="64">
        <v>0</v>
      </c>
      <c r="BB33" s="64">
        <v>0</v>
      </c>
      <c r="BC33" s="64">
        <f>SUM(AG38:AG58)</f>
        <v>0</v>
      </c>
      <c r="BD33" s="64">
        <v>0</v>
      </c>
      <c r="BE33" s="64">
        <v>0</v>
      </c>
      <c r="BF33" s="64">
        <v>0</v>
      </c>
      <c r="BG33" s="64">
        <v>0</v>
      </c>
      <c r="BH33" s="64">
        <v>0</v>
      </c>
      <c r="BI33" s="64">
        <v>0</v>
      </c>
      <c r="BJ33"/>
      <c r="BK33"/>
      <c r="BL33"/>
      <c r="BM33"/>
      <c r="BN33"/>
      <c r="BO33"/>
      <c r="BP33"/>
      <c r="BQ33"/>
      <c r="BR33"/>
      <c r="BS33"/>
      <c r="BT33"/>
      <c r="BU33"/>
    </row>
    <row r="34" spans="1:73" ht="24" thickBot="1">
      <c r="A34" s="103"/>
      <c r="B34" s="303"/>
      <c r="C34" s="85">
        <v>15</v>
      </c>
      <c r="D34" s="85" t="s">
        <v>474</v>
      </c>
      <c r="E34" s="151" t="s">
        <v>266</v>
      </c>
      <c r="F34" s="85">
        <v>1</v>
      </c>
      <c r="G34" s="85">
        <v>30</v>
      </c>
      <c r="H34" s="85">
        <v>30</v>
      </c>
      <c r="I34" s="85">
        <v>0</v>
      </c>
      <c r="J34" s="85">
        <v>0</v>
      </c>
      <c r="K34" s="85">
        <v>0</v>
      </c>
      <c r="L34" s="85">
        <v>0</v>
      </c>
      <c r="M34" s="85">
        <v>0</v>
      </c>
      <c r="N34" s="85">
        <v>0</v>
      </c>
      <c r="O34" s="85">
        <v>0</v>
      </c>
      <c r="P34" s="85">
        <v>0</v>
      </c>
      <c r="Q34" s="85">
        <v>0</v>
      </c>
      <c r="R34" s="85">
        <v>0</v>
      </c>
      <c r="S34" s="85">
        <v>0</v>
      </c>
      <c r="T34" s="85">
        <f t="shared" si="0"/>
        <v>30</v>
      </c>
      <c r="U34" s="89"/>
      <c r="V34" s="89">
        <f t="shared" si="1"/>
        <v>3.2628689787154594</v>
      </c>
      <c r="W34" s="89">
        <f t="shared" si="2"/>
        <v>57.543749999999996</v>
      </c>
      <c r="X34" s="89">
        <f t="shared" si="3"/>
        <v>0</v>
      </c>
      <c r="Y34" s="89">
        <f t="shared" si="12"/>
        <v>0</v>
      </c>
      <c r="Z34" s="89">
        <f>IF(ISNUMBER(SEARCH("CCR4", E34)),(T34-K34)*$Z$3, 0)</f>
        <v>6.2086821393722511</v>
      </c>
      <c r="AA34" s="89">
        <f t="shared" si="4"/>
        <v>0</v>
      </c>
      <c r="AB34" s="89">
        <f t="shared" si="14"/>
        <v>0</v>
      </c>
      <c r="AC34" s="89">
        <f t="shared" si="5"/>
        <v>0</v>
      </c>
      <c r="AD34" s="89">
        <f t="shared" si="6"/>
        <v>0</v>
      </c>
      <c r="AE34" s="89">
        <f t="shared" si="7"/>
        <v>0</v>
      </c>
      <c r="AF34" s="89">
        <f t="shared" si="8"/>
        <v>0</v>
      </c>
      <c r="AG34" s="89">
        <f t="shared" si="9"/>
        <v>0</v>
      </c>
      <c r="AH34" s="89">
        <f t="shared" si="10"/>
        <v>0</v>
      </c>
      <c r="AI34" s="89">
        <v>0</v>
      </c>
      <c r="AJ34" s="89"/>
      <c r="AK34" s="89">
        <v>0</v>
      </c>
      <c r="AL34" s="156">
        <f t="shared" si="19"/>
        <v>67.015301118087706</v>
      </c>
      <c r="AM34" s="163">
        <f>SUM(AL20:AL34)</f>
        <v>221.42391172553315</v>
      </c>
      <c r="AN34" s="162"/>
      <c r="AO34" s="162"/>
      <c r="AP34" s="162"/>
      <c r="AQ34" s="160"/>
      <c r="AR34" s="120"/>
      <c r="AX34" s="63" t="s">
        <v>285</v>
      </c>
      <c r="AY34" s="64">
        <f>SUM(AH5:AH16)</f>
        <v>0</v>
      </c>
      <c r="AZ34" s="64" t="e">
        <f>SUM(AF217:AF235)</f>
        <v>#REF!</v>
      </c>
      <c r="BA34" s="64">
        <v>0</v>
      </c>
      <c r="BB34" s="64">
        <v>0</v>
      </c>
      <c r="BC34" s="64">
        <f>SUM(AH38:AH58)</f>
        <v>0</v>
      </c>
      <c r="BD34" s="64">
        <v>0</v>
      </c>
      <c r="BE34" s="64">
        <v>0</v>
      </c>
      <c r="BF34" s="64">
        <v>0</v>
      </c>
      <c r="BG34" s="64">
        <v>0</v>
      </c>
      <c r="BH34" s="64">
        <v>0</v>
      </c>
      <c r="BI34" s="64">
        <v>0</v>
      </c>
      <c r="BJ34"/>
      <c r="BK34"/>
      <c r="BL34"/>
      <c r="BM34"/>
      <c r="BN34"/>
      <c r="BO34"/>
      <c r="BP34"/>
      <c r="BQ34"/>
      <c r="BR34"/>
      <c r="BS34"/>
      <c r="BT34"/>
      <c r="BU34"/>
    </row>
    <row r="35" spans="1:73" ht="21" thickTop="1">
      <c r="A35" s="103"/>
      <c r="B35" s="303"/>
      <c r="C35" s="85"/>
      <c r="D35" s="85"/>
      <c r="E35" s="246" t="s">
        <v>552</v>
      </c>
      <c r="F35" s="247"/>
      <c r="G35" s="248">
        <f>($F23*G23)+($F24*G24)+($F25*G25)+($F26*G26)+($F27*G27)+($F28*G28)+($F29*G29)+($F30*G30)+($F31*G31)+($F32*G32)+($F33*G33)+($F34*G34)+($F22*G22)+($F21*G21)+($F20*G20)</f>
        <v>100</v>
      </c>
      <c r="H35" s="248">
        <f t="shared" ref="H35:T35" si="20">($F23*H23)+($F24*H24)+($F25*H25)+($F26*H26)+($F27*H27)+($F28*H28)+($F29*H29)+($F30*H30)+($F31*H31)+($F32*H32)+($F33*H33)+($F34*H34)+($F22*H22)+($F21*H21)+($F20*H20)</f>
        <v>75</v>
      </c>
      <c r="I35" s="248">
        <f t="shared" si="20"/>
        <v>0</v>
      </c>
      <c r="J35" s="248">
        <f t="shared" si="20"/>
        <v>0</v>
      </c>
      <c r="K35" s="248">
        <f t="shared" si="20"/>
        <v>0</v>
      </c>
      <c r="L35" s="248">
        <f t="shared" si="20"/>
        <v>0</v>
      </c>
      <c r="M35" s="248">
        <f t="shared" si="20"/>
        <v>0</v>
      </c>
      <c r="N35" s="248">
        <f t="shared" si="20"/>
        <v>0</v>
      </c>
      <c r="O35" s="248">
        <f t="shared" si="20"/>
        <v>0</v>
      </c>
      <c r="P35" s="248">
        <f t="shared" si="20"/>
        <v>0</v>
      </c>
      <c r="Q35" s="248">
        <f t="shared" si="20"/>
        <v>0</v>
      </c>
      <c r="R35" s="248">
        <f t="shared" si="20"/>
        <v>0</v>
      </c>
      <c r="S35" s="248">
        <f t="shared" si="20"/>
        <v>0</v>
      </c>
      <c r="T35" s="248">
        <f t="shared" si="20"/>
        <v>75</v>
      </c>
      <c r="U35" s="89"/>
      <c r="V35" s="254">
        <f>SUM(V20:V34)</f>
        <v>8.1571724467886479</v>
      </c>
      <c r="W35" s="254">
        <f t="shared" ref="W35:AK35" si="21">SUM(W20:W34)</f>
        <v>143.859375</v>
      </c>
      <c r="X35" s="254">
        <f t="shared" si="21"/>
        <v>0</v>
      </c>
      <c r="Y35" s="254">
        <f t="shared" si="21"/>
        <v>0</v>
      </c>
      <c r="Z35" s="254">
        <f t="shared" si="21"/>
        <v>12.417364278744502</v>
      </c>
      <c r="AA35" s="254">
        <f t="shared" si="21"/>
        <v>0</v>
      </c>
      <c r="AB35" s="254">
        <f t="shared" si="21"/>
        <v>0</v>
      </c>
      <c r="AC35" s="254">
        <f t="shared" si="21"/>
        <v>0</v>
      </c>
      <c r="AD35" s="254">
        <f t="shared" si="21"/>
        <v>0</v>
      </c>
      <c r="AE35" s="254">
        <f t="shared" si="21"/>
        <v>0</v>
      </c>
      <c r="AF35" s="254">
        <f t="shared" si="21"/>
        <v>0</v>
      </c>
      <c r="AG35" s="254">
        <f t="shared" si="21"/>
        <v>0</v>
      </c>
      <c r="AH35" s="254">
        <f t="shared" si="21"/>
        <v>0</v>
      </c>
      <c r="AI35" s="254">
        <f t="shared" si="21"/>
        <v>0</v>
      </c>
      <c r="AJ35" s="254">
        <f t="shared" si="21"/>
        <v>4.5</v>
      </c>
      <c r="AK35" s="254">
        <f t="shared" si="21"/>
        <v>52.49</v>
      </c>
      <c r="AL35" s="149">
        <f>SUM(AL20:AL34)</f>
        <v>221.42391172553315</v>
      </c>
      <c r="AM35" s="163"/>
      <c r="AN35" s="162"/>
      <c r="AO35" s="162"/>
      <c r="AP35" s="162"/>
      <c r="AQ35" s="160"/>
      <c r="AR35" s="120"/>
      <c r="AX35" s="63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/>
      <c r="BK35"/>
      <c r="BL35"/>
      <c r="BM35"/>
      <c r="BN35"/>
      <c r="BO35"/>
      <c r="BP35"/>
      <c r="BQ35"/>
      <c r="BR35"/>
      <c r="BS35"/>
      <c r="BT35"/>
      <c r="BU35"/>
    </row>
    <row r="36" spans="1:73" ht="20.25">
      <c r="A36" s="103"/>
      <c r="B36" s="304"/>
      <c r="C36" s="15"/>
      <c r="D36" s="118"/>
      <c r="E36" s="249" t="s">
        <v>450</v>
      </c>
      <c r="F36" s="250"/>
      <c r="G36" s="250">
        <f>SUM(G20:G34)</f>
        <v>420</v>
      </c>
      <c r="H36" s="250">
        <f t="shared" ref="H36:AK36" si="22">SUM(H20:H34)</f>
        <v>430</v>
      </c>
      <c r="I36" s="250">
        <f t="shared" si="22"/>
        <v>0</v>
      </c>
      <c r="J36" s="250">
        <f t="shared" si="22"/>
        <v>170</v>
      </c>
      <c r="K36" s="250">
        <f t="shared" si="22"/>
        <v>0</v>
      </c>
      <c r="L36" s="250">
        <f t="shared" si="22"/>
        <v>0</v>
      </c>
      <c r="M36" s="250">
        <f t="shared" si="22"/>
        <v>40</v>
      </c>
      <c r="N36" s="250">
        <f t="shared" si="22"/>
        <v>40</v>
      </c>
      <c r="O36" s="250">
        <f t="shared" si="22"/>
        <v>40</v>
      </c>
      <c r="P36" s="250">
        <f t="shared" si="22"/>
        <v>40</v>
      </c>
      <c r="Q36" s="250">
        <f t="shared" si="22"/>
        <v>30</v>
      </c>
      <c r="R36" s="250">
        <f t="shared" si="22"/>
        <v>0</v>
      </c>
      <c r="S36" s="250">
        <f t="shared" si="22"/>
        <v>0</v>
      </c>
      <c r="T36" s="250">
        <f t="shared" si="22"/>
        <v>75</v>
      </c>
      <c r="U36" s="250">
        <f t="shared" si="22"/>
        <v>0</v>
      </c>
      <c r="V36" s="250">
        <f>SUM(V20:V35)</f>
        <v>16.314344893577296</v>
      </c>
      <c r="W36" s="250">
        <f t="shared" si="22"/>
        <v>143.859375</v>
      </c>
      <c r="X36" s="250">
        <f t="shared" si="22"/>
        <v>0</v>
      </c>
      <c r="Y36" s="250">
        <f t="shared" si="22"/>
        <v>0</v>
      </c>
      <c r="Z36" s="250">
        <f t="shared" si="22"/>
        <v>12.417364278744502</v>
      </c>
      <c r="AA36" s="250">
        <f t="shared" si="22"/>
        <v>0</v>
      </c>
      <c r="AB36" s="250">
        <f t="shared" si="22"/>
        <v>0</v>
      </c>
      <c r="AC36" s="250">
        <f t="shared" si="22"/>
        <v>0</v>
      </c>
      <c r="AD36" s="250">
        <f t="shared" si="22"/>
        <v>0</v>
      </c>
      <c r="AE36" s="250">
        <f t="shared" si="22"/>
        <v>0</v>
      </c>
      <c r="AF36" s="250">
        <f t="shared" si="22"/>
        <v>0</v>
      </c>
      <c r="AG36" s="250">
        <f t="shared" si="22"/>
        <v>0</v>
      </c>
      <c r="AH36" s="250">
        <f t="shared" si="22"/>
        <v>0</v>
      </c>
      <c r="AI36" s="250">
        <f t="shared" si="22"/>
        <v>0</v>
      </c>
      <c r="AJ36" s="250">
        <f t="shared" si="22"/>
        <v>4.5</v>
      </c>
      <c r="AK36" s="250">
        <f t="shared" si="22"/>
        <v>52.49</v>
      </c>
      <c r="AL36" s="149"/>
      <c r="AM36" s="158"/>
      <c r="AN36" s="161"/>
      <c r="AO36" s="160"/>
      <c r="AP36" s="160"/>
      <c r="AQ36" s="160"/>
      <c r="AR36" s="120"/>
      <c r="AX36" s="63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/>
      <c r="BK36"/>
      <c r="BL36"/>
      <c r="BM36"/>
      <c r="BN36"/>
      <c r="BO36"/>
      <c r="BP36"/>
      <c r="BQ36"/>
      <c r="BR36"/>
      <c r="BS36"/>
      <c r="BT36"/>
      <c r="BU36"/>
    </row>
    <row r="37" spans="1:73" ht="22.5" customHeight="1" thickBot="1">
      <c r="A37" s="103"/>
      <c r="B37" s="166"/>
      <c r="C37" s="167"/>
      <c r="D37" s="120"/>
      <c r="E37" s="120"/>
      <c r="F37" s="109"/>
      <c r="G37" s="168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69"/>
      <c r="U37" s="169"/>
      <c r="V37" s="170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71"/>
      <c r="AJ37" s="120"/>
      <c r="AK37" s="120"/>
      <c r="AL37" s="170"/>
      <c r="AM37" s="158"/>
      <c r="AN37" s="158"/>
      <c r="AO37" s="120"/>
      <c r="AP37" s="120"/>
      <c r="AQ37" s="120"/>
      <c r="AR37" s="120"/>
      <c r="AX37" s="63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/>
      <c r="BK37"/>
      <c r="BL37"/>
      <c r="BM37"/>
      <c r="BN37"/>
      <c r="BO37"/>
      <c r="BP37"/>
      <c r="BQ37"/>
      <c r="BR37"/>
      <c r="BS37"/>
      <c r="BT37"/>
      <c r="BU37"/>
    </row>
    <row r="38" spans="1:73" ht="26.25" customHeight="1" thickBot="1">
      <c r="A38" s="121"/>
      <c r="B38" s="302" t="s">
        <v>551</v>
      </c>
      <c r="C38" s="82">
        <v>0</v>
      </c>
      <c r="D38" s="83" t="s">
        <v>475</v>
      </c>
      <c r="E38" s="150" t="s">
        <v>52</v>
      </c>
      <c r="F38" s="83">
        <v>1</v>
      </c>
      <c r="G38" s="83">
        <v>15</v>
      </c>
      <c r="H38" s="83">
        <v>0</v>
      </c>
      <c r="I38" s="83">
        <v>0</v>
      </c>
      <c r="J38" s="83">
        <v>15</v>
      </c>
      <c r="K38" s="83">
        <v>0</v>
      </c>
      <c r="L38" s="83">
        <v>0</v>
      </c>
      <c r="M38" s="83">
        <v>0</v>
      </c>
      <c r="N38" s="83">
        <v>0</v>
      </c>
      <c r="O38" s="83">
        <v>0</v>
      </c>
      <c r="P38" s="83">
        <v>0</v>
      </c>
      <c r="Q38" s="83">
        <v>0</v>
      </c>
      <c r="R38" s="83">
        <v>0</v>
      </c>
      <c r="S38" s="83">
        <v>0</v>
      </c>
      <c r="T38" s="83">
        <f t="shared" si="0"/>
        <v>15</v>
      </c>
      <c r="U38" s="90"/>
      <c r="V38" s="88">
        <f t="shared" si="1"/>
        <v>1.6314344893577297</v>
      </c>
      <c r="W38" s="88">
        <f t="shared" si="2"/>
        <v>0</v>
      </c>
      <c r="X38" s="88">
        <f t="shared" si="3"/>
        <v>0</v>
      </c>
      <c r="Y38" s="88">
        <f t="shared" si="12"/>
        <v>12.553125000000001</v>
      </c>
      <c r="Z38" s="88">
        <f>IF(ISNUMBER(SEARCH("CCR4", E38)),(T38-K38)*$Z$3, 0)</f>
        <v>0</v>
      </c>
      <c r="AA38" s="88">
        <f t="shared" si="4"/>
        <v>0</v>
      </c>
      <c r="AB38" s="88">
        <f t="shared" si="14"/>
        <v>0</v>
      </c>
      <c r="AC38" s="88">
        <f t="shared" si="5"/>
        <v>0</v>
      </c>
      <c r="AD38" s="88">
        <f t="shared" si="6"/>
        <v>0</v>
      </c>
      <c r="AE38" s="88">
        <f t="shared" si="7"/>
        <v>0</v>
      </c>
      <c r="AF38" s="88">
        <f t="shared" si="8"/>
        <v>0</v>
      </c>
      <c r="AG38" s="88">
        <f t="shared" si="9"/>
        <v>0</v>
      </c>
      <c r="AH38" s="88">
        <f t="shared" si="10"/>
        <v>0</v>
      </c>
      <c r="AI38" s="88">
        <v>0</v>
      </c>
      <c r="AJ38" s="88"/>
      <c r="AK38" s="88">
        <v>0</v>
      </c>
      <c r="AL38" s="174">
        <f t="shared" ref="AL38:AL58" si="23">SUM(V38:AK38)</f>
        <v>14.184559489357731</v>
      </c>
      <c r="AM38" s="158"/>
      <c r="AN38" s="121"/>
      <c r="AO38" s="242"/>
      <c r="AP38" s="242"/>
      <c r="AQ38" s="242"/>
      <c r="AR38" s="120"/>
      <c r="AT38" s="38" t="s">
        <v>194</v>
      </c>
      <c r="AU38" s="39" t="s">
        <v>196</v>
      </c>
      <c r="AX38" s="69"/>
      <c r="AY38" s="70"/>
      <c r="AZ38" s="70"/>
      <c r="BA38" s="70"/>
      <c r="BB38" s="70"/>
      <c r="BC38" s="70"/>
      <c r="BD38" s="70"/>
      <c r="BE38" s="71"/>
      <c r="BF38" s="64"/>
      <c r="BG38" s="71"/>
      <c r="BH38" s="72"/>
      <c r="BI38" s="72"/>
      <c r="BJ38"/>
      <c r="BK38"/>
      <c r="BL38"/>
      <c r="BM38"/>
      <c r="BN38"/>
      <c r="BO38"/>
      <c r="BP38"/>
      <c r="BQ38"/>
      <c r="BR38"/>
      <c r="BS38"/>
      <c r="BT38"/>
      <c r="BU38"/>
    </row>
    <row r="39" spans="1:73" ht="24" customHeight="1">
      <c r="A39" s="121"/>
      <c r="B39" s="303"/>
      <c r="C39" s="84">
        <v>1</v>
      </c>
      <c r="D39" s="85" t="s">
        <v>468</v>
      </c>
      <c r="E39" s="151" t="s">
        <v>51</v>
      </c>
      <c r="F39" s="85">
        <f>IF(AP45="no", 0, 1)</f>
        <v>0</v>
      </c>
      <c r="G39" s="85">
        <v>10</v>
      </c>
      <c r="H39" s="85">
        <v>0</v>
      </c>
      <c r="I39" s="85">
        <v>15</v>
      </c>
      <c r="J39" s="85">
        <v>15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0.33</v>
      </c>
      <c r="Q39" s="85">
        <v>0</v>
      </c>
      <c r="R39" s="85">
        <v>0</v>
      </c>
      <c r="S39" s="85">
        <v>0</v>
      </c>
      <c r="T39" s="85">
        <f t="shared" si="0"/>
        <v>0</v>
      </c>
      <c r="U39" s="91"/>
      <c r="V39" s="89">
        <f t="shared" si="1"/>
        <v>0</v>
      </c>
      <c r="W39" s="89">
        <f t="shared" si="2"/>
        <v>0</v>
      </c>
      <c r="X39" s="89">
        <f t="shared" si="3"/>
        <v>0</v>
      </c>
      <c r="Y39" s="89">
        <f t="shared" si="12"/>
        <v>0</v>
      </c>
      <c r="Z39" s="89">
        <f>IF(ISNUMBER(SEARCH("CCR4", E39)),(T39-K39)*$Z$3, 0)</f>
        <v>0</v>
      </c>
      <c r="AA39" s="89">
        <f t="shared" si="4"/>
        <v>0</v>
      </c>
      <c r="AB39" s="89">
        <f t="shared" si="14"/>
        <v>0</v>
      </c>
      <c r="AC39" s="89">
        <f t="shared" si="5"/>
        <v>0</v>
      </c>
      <c r="AD39" s="89">
        <f t="shared" si="6"/>
        <v>0</v>
      </c>
      <c r="AE39" s="89">
        <f t="shared" si="7"/>
        <v>0</v>
      </c>
      <c r="AF39" s="89">
        <f t="shared" si="8"/>
        <v>0</v>
      </c>
      <c r="AG39" s="89">
        <f t="shared" si="9"/>
        <v>0</v>
      </c>
      <c r="AH39" s="89">
        <f t="shared" si="10"/>
        <v>0</v>
      </c>
      <c r="AI39" s="89">
        <v>0</v>
      </c>
      <c r="AJ39" s="89"/>
      <c r="AK39" s="89">
        <v>0</v>
      </c>
      <c r="AL39" s="154">
        <f t="shared" si="23"/>
        <v>0</v>
      </c>
      <c r="AM39" s="120"/>
      <c r="AN39" s="120"/>
      <c r="AO39" s="240" t="s">
        <v>451</v>
      </c>
      <c r="AP39" s="240" t="s">
        <v>49</v>
      </c>
      <c r="AQ39" s="240" t="s">
        <v>452</v>
      </c>
      <c r="AR39" s="120"/>
      <c r="AT39" s="40" t="s">
        <v>278</v>
      </c>
      <c r="AU39" s="49" t="s">
        <v>198</v>
      </c>
      <c r="AX39" s="63" t="s">
        <v>29</v>
      </c>
      <c r="AY39" s="67">
        <f>SUM(AY16:AY38)</f>
        <v>503.67601759953106</v>
      </c>
      <c r="AZ39" s="67" t="e">
        <f>SUM(AZ16:AZ38)</f>
        <v>#REF!</v>
      </c>
      <c r="BA39" s="67">
        <f>SUM(BA20:BA38)</f>
        <v>854.3137830453478</v>
      </c>
      <c r="BB39" s="67">
        <f>SUM(BB16:BB38)</f>
        <v>221.42391172553317</v>
      </c>
      <c r="BC39" s="67">
        <f>SUM(BC16:BC38)</f>
        <v>929.60630286131664</v>
      </c>
      <c r="BD39" s="67">
        <f>SUM(BD16:BD38)</f>
        <v>356.61562430943422</v>
      </c>
      <c r="BE39" s="67">
        <f>SUM(BE20:BE38)</f>
        <v>2609.7274126813136</v>
      </c>
      <c r="BF39" s="67">
        <f>SUM(BF16:BF38)</f>
        <v>3193.0794020651747</v>
      </c>
      <c r="BG39" s="67">
        <f>SUM(BG16:BG38)</f>
        <v>3004.8873967292384</v>
      </c>
      <c r="BH39" s="67">
        <f>SUM(BH16:BH38)</f>
        <v>939.87906334980266</v>
      </c>
      <c r="BI39" s="67">
        <v>1035.9596345716632</v>
      </c>
      <c r="BJ39"/>
      <c r="BK39"/>
      <c r="BL39"/>
      <c r="BM39"/>
      <c r="BN39"/>
      <c r="BO39"/>
      <c r="BP39"/>
      <c r="BQ39"/>
      <c r="BR39"/>
      <c r="BS39"/>
      <c r="BT39"/>
      <c r="BU39"/>
    </row>
    <row r="40" spans="1:73" ht="30" customHeight="1" thickBot="1">
      <c r="A40" s="121"/>
      <c r="B40" s="303"/>
      <c r="C40" s="84">
        <v>2</v>
      </c>
      <c r="D40" s="85" t="s">
        <v>476</v>
      </c>
      <c r="E40" s="151" t="s">
        <v>51</v>
      </c>
      <c r="F40" s="85">
        <v>1</v>
      </c>
      <c r="G40" s="85">
        <v>30</v>
      </c>
      <c r="H40" s="85">
        <v>0</v>
      </c>
      <c r="I40" s="85">
        <v>30</v>
      </c>
      <c r="J40" s="85">
        <v>30</v>
      </c>
      <c r="K40" s="85">
        <v>0</v>
      </c>
      <c r="L40" s="85">
        <v>0</v>
      </c>
      <c r="M40" s="85">
        <v>0</v>
      </c>
      <c r="N40" s="85">
        <v>0</v>
      </c>
      <c r="O40" s="85">
        <v>0</v>
      </c>
      <c r="P40" s="85">
        <v>0</v>
      </c>
      <c r="Q40" s="85">
        <v>0</v>
      </c>
      <c r="R40" s="85">
        <v>0</v>
      </c>
      <c r="S40" s="85">
        <v>0</v>
      </c>
      <c r="T40" s="85">
        <f t="shared" si="0"/>
        <v>60</v>
      </c>
      <c r="U40" s="91"/>
      <c r="V40" s="89">
        <f t="shared" si="1"/>
        <v>6.5257379574309189</v>
      </c>
      <c r="W40" s="89">
        <f t="shared" si="2"/>
        <v>0</v>
      </c>
      <c r="X40" s="89">
        <f t="shared" si="3"/>
        <v>32.299999999999997</v>
      </c>
      <c r="Y40" s="89">
        <f t="shared" si="12"/>
        <v>25.106250000000003</v>
      </c>
      <c r="Z40" s="89">
        <f t="shared" si="13"/>
        <v>0</v>
      </c>
      <c r="AA40" s="89">
        <f t="shared" si="4"/>
        <v>0</v>
      </c>
      <c r="AB40" s="89">
        <f t="shared" si="14"/>
        <v>0</v>
      </c>
      <c r="AC40" s="89">
        <f t="shared" si="5"/>
        <v>0</v>
      </c>
      <c r="AD40" s="89">
        <f t="shared" si="6"/>
        <v>0</v>
      </c>
      <c r="AE40" s="89">
        <f t="shared" si="7"/>
        <v>0</v>
      </c>
      <c r="AF40" s="89">
        <f t="shared" si="8"/>
        <v>0</v>
      </c>
      <c r="AG40" s="89">
        <f t="shared" si="9"/>
        <v>0</v>
      </c>
      <c r="AH40" s="89">
        <f t="shared" si="10"/>
        <v>0</v>
      </c>
      <c r="AI40" s="89">
        <v>0</v>
      </c>
      <c r="AJ40" s="89"/>
      <c r="AK40" s="89">
        <v>0</v>
      </c>
      <c r="AL40" s="154">
        <f t="shared" si="23"/>
        <v>63.93198795743092</v>
      </c>
      <c r="AM40" s="120"/>
      <c r="AN40" s="301"/>
      <c r="AO40" s="202" t="s">
        <v>47</v>
      </c>
      <c r="AP40" s="139" t="s">
        <v>18</v>
      </c>
      <c r="AQ40" s="141"/>
      <c r="AR40" s="120"/>
      <c r="AT40" s="41"/>
      <c r="AU40" s="41"/>
      <c r="AX40" s="76" t="s">
        <v>286</v>
      </c>
      <c r="AY40" s="77">
        <f t="shared" ref="AY40:BH40" si="24">AY39-AY15</f>
        <v>-4.6988819123043868E-3</v>
      </c>
      <c r="AZ40" s="77" t="e">
        <f t="shared" si="24"/>
        <v>#REF!</v>
      </c>
      <c r="BA40" s="77">
        <f t="shared" si="24"/>
        <v>1.3783045347736333E-2</v>
      </c>
      <c r="BB40" s="77">
        <f t="shared" si="24"/>
        <v>0</v>
      </c>
      <c r="BC40" s="77">
        <f t="shared" si="24"/>
        <v>-33.763432482262829</v>
      </c>
      <c r="BD40" s="77">
        <f t="shared" si="24"/>
        <v>-4.3756905657801326E-3</v>
      </c>
      <c r="BE40" s="77">
        <f t="shared" si="24"/>
        <v>0</v>
      </c>
      <c r="BF40" s="77">
        <f t="shared" si="24"/>
        <v>0</v>
      </c>
      <c r="BG40" s="77">
        <f t="shared" si="24"/>
        <v>0</v>
      </c>
      <c r="BH40" s="77">
        <f t="shared" si="24"/>
        <v>-2.8458074843911163E-3</v>
      </c>
      <c r="BI40" s="77">
        <v>-3.6542833686326048E-4</v>
      </c>
      <c r="BJ40"/>
      <c r="BK40"/>
      <c r="BL40"/>
      <c r="BM40"/>
      <c r="BN40"/>
      <c r="BO40"/>
      <c r="BP40"/>
      <c r="BQ40"/>
      <c r="BR40"/>
      <c r="BS40"/>
      <c r="BT40"/>
      <c r="BU40"/>
    </row>
    <row r="41" spans="1:73" ht="24" thickBot="1">
      <c r="A41" s="121"/>
      <c r="B41" s="303"/>
      <c r="C41" s="84">
        <v>3</v>
      </c>
      <c r="D41" s="85" t="s">
        <v>472</v>
      </c>
      <c r="E41" s="151" t="s">
        <v>147</v>
      </c>
      <c r="F41" s="85">
        <f>IF(AP40="no", 0, 1)</f>
        <v>0</v>
      </c>
      <c r="G41" s="85">
        <v>30</v>
      </c>
      <c r="H41" s="85">
        <v>60</v>
      </c>
      <c r="I41" s="85">
        <v>0</v>
      </c>
      <c r="J41" s="85">
        <v>40</v>
      </c>
      <c r="K41" s="85">
        <v>0</v>
      </c>
      <c r="L41" s="85">
        <v>0</v>
      </c>
      <c r="M41" s="85">
        <v>40</v>
      </c>
      <c r="N41" s="85">
        <v>40</v>
      </c>
      <c r="O41" s="85">
        <v>0</v>
      </c>
      <c r="P41" s="85">
        <v>0</v>
      </c>
      <c r="Q41" s="85">
        <v>0</v>
      </c>
      <c r="R41" s="85">
        <v>0</v>
      </c>
      <c r="S41" s="85">
        <v>0</v>
      </c>
      <c r="T41" s="85">
        <f t="shared" si="0"/>
        <v>0</v>
      </c>
      <c r="U41" s="91"/>
      <c r="V41" s="89">
        <f t="shared" si="1"/>
        <v>0</v>
      </c>
      <c r="W41" s="89">
        <f t="shared" si="2"/>
        <v>0</v>
      </c>
      <c r="X41" s="89">
        <f t="shared" si="3"/>
        <v>0</v>
      </c>
      <c r="Y41" s="89">
        <f t="shared" si="12"/>
        <v>0</v>
      </c>
      <c r="Z41" s="89">
        <f t="shared" si="13"/>
        <v>0</v>
      </c>
      <c r="AA41" s="89">
        <f t="shared" si="4"/>
        <v>0</v>
      </c>
      <c r="AB41" s="89">
        <f t="shared" si="14"/>
        <v>0</v>
      </c>
      <c r="AC41" s="89">
        <f t="shared" si="5"/>
        <v>0</v>
      </c>
      <c r="AD41" s="89">
        <f t="shared" si="6"/>
        <v>0</v>
      </c>
      <c r="AE41" s="89">
        <f t="shared" si="7"/>
        <v>0</v>
      </c>
      <c r="AF41" s="89">
        <f t="shared" si="8"/>
        <v>0</v>
      </c>
      <c r="AG41" s="89">
        <f t="shared" si="9"/>
        <v>0</v>
      </c>
      <c r="AH41" s="89">
        <f t="shared" si="10"/>
        <v>0</v>
      </c>
      <c r="AI41" s="89">
        <v>0</v>
      </c>
      <c r="AJ41" s="89"/>
      <c r="AK41" s="89">
        <v>0</v>
      </c>
      <c r="AL41" s="154">
        <f t="shared" si="23"/>
        <v>0</v>
      </c>
      <c r="AM41" s="120"/>
      <c r="AN41" s="301"/>
      <c r="AO41" s="192" t="s">
        <v>46</v>
      </c>
      <c r="AP41" s="140" t="s">
        <v>18</v>
      </c>
      <c r="AQ41" s="142"/>
      <c r="AR41" s="120"/>
      <c r="AT41" s="42" t="s">
        <v>199</v>
      </c>
      <c r="AU41" s="43"/>
      <c r="BI41"/>
      <c r="BJ41"/>
      <c r="BK41"/>
      <c r="BL41"/>
      <c r="BM41"/>
      <c r="BN41"/>
      <c r="BO41"/>
      <c r="BP41"/>
      <c r="BQ41"/>
      <c r="BR41"/>
      <c r="BS41"/>
      <c r="BT41"/>
      <c r="BU41"/>
    </row>
    <row r="42" spans="1:73" ht="23.25">
      <c r="A42" s="121"/>
      <c r="B42" s="303"/>
      <c r="C42" s="84">
        <v>4</v>
      </c>
      <c r="D42" s="85" t="s">
        <v>473</v>
      </c>
      <c r="E42" s="151" t="s">
        <v>162</v>
      </c>
      <c r="F42" s="85">
        <f>IF(AP41="no", 0, 1)</f>
        <v>0</v>
      </c>
      <c r="G42" s="85">
        <v>60</v>
      </c>
      <c r="H42" s="85">
        <v>120</v>
      </c>
      <c r="I42" s="85">
        <v>0</v>
      </c>
      <c r="J42" s="85">
        <v>120</v>
      </c>
      <c r="K42" s="85">
        <v>0</v>
      </c>
      <c r="L42" s="85">
        <v>0</v>
      </c>
      <c r="M42" s="85">
        <v>0</v>
      </c>
      <c r="N42" s="85">
        <v>0</v>
      </c>
      <c r="O42" s="85">
        <v>40</v>
      </c>
      <c r="P42" s="85">
        <v>40</v>
      </c>
      <c r="Q42" s="85">
        <v>30</v>
      </c>
      <c r="R42" s="85">
        <v>0</v>
      </c>
      <c r="S42" s="85">
        <v>0</v>
      </c>
      <c r="T42" s="85">
        <f t="shared" si="0"/>
        <v>0</v>
      </c>
      <c r="U42" s="91"/>
      <c r="V42" s="89">
        <f t="shared" si="1"/>
        <v>0</v>
      </c>
      <c r="W42" s="89">
        <f t="shared" si="2"/>
        <v>0</v>
      </c>
      <c r="X42" s="89">
        <f t="shared" si="3"/>
        <v>0</v>
      </c>
      <c r="Y42" s="89">
        <f t="shared" si="12"/>
        <v>0</v>
      </c>
      <c r="Z42" s="89">
        <f t="shared" si="13"/>
        <v>0</v>
      </c>
      <c r="AA42" s="89">
        <f t="shared" si="4"/>
        <v>0</v>
      </c>
      <c r="AB42" s="89">
        <f t="shared" si="14"/>
        <v>0</v>
      </c>
      <c r="AC42" s="89">
        <f t="shared" si="5"/>
        <v>0</v>
      </c>
      <c r="AD42" s="89">
        <f t="shared" si="6"/>
        <v>0</v>
      </c>
      <c r="AE42" s="89">
        <f t="shared" si="7"/>
        <v>0</v>
      </c>
      <c r="AF42" s="89">
        <f t="shared" si="8"/>
        <v>0</v>
      </c>
      <c r="AG42" s="89">
        <f t="shared" si="9"/>
        <v>0</v>
      </c>
      <c r="AH42" s="89">
        <f t="shared" si="10"/>
        <v>0</v>
      </c>
      <c r="AI42" s="89">
        <v>0</v>
      </c>
      <c r="AJ42" s="89"/>
      <c r="AK42" s="89">
        <v>0</v>
      </c>
      <c r="AL42" s="154">
        <f t="shared" si="23"/>
        <v>0</v>
      </c>
      <c r="AM42" s="120"/>
      <c r="AN42" s="301"/>
      <c r="AO42" s="192" t="s">
        <v>299</v>
      </c>
      <c r="AP42" s="140">
        <v>7</v>
      </c>
      <c r="AQ42" s="142"/>
      <c r="AR42" s="120"/>
      <c r="AT42" s="44" t="s">
        <v>222</v>
      </c>
      <c r="AU42" s="45">
        <f>SUM(AL38:AL42)</f>
        <v>78.116547446788644</v>
      </c>
      <c r="BI42"/>
      <c r="BJ42"/>
      <c r="BK42"/>
      <c r="BL42"/>
      <c r="BM42"/>
      <c r="BN42"/>
      <c r="BO42"/>
      <c r="BP42"/>
      <c r="BQ42"/>
      <c r="BR42"/>
      <c r="BS42"/>
      <c r="BT42"/>
      <c r="BU42"/>
    </row>
    <row r="43" spans="1:73" ht="23.25">
      <c r="A43" s="121"/>
      <c r="B43" s="303"/>
      <c r="C43" s="84">
        <v>5</v>
      </c>
      <c r="D43" s="85" t="s">
        <v>471</v>
      </c>
      <c r="E43" s="151" t="s">
        <v>152</v>
      </c>
      <c r="F43" s="85">
        <v>1</v>
      </c>
      <c r="G43" s="85">
        <v>30</v>
      </c>
      <c r="H43" s="85">
        <v>0</v>
      </c>
      <c r="I43" s="85">
        <v>30</v>
      </c>
      <c r="J43" s="85">
        <v>30</v>
      </c>
      <c r="K43" s="85">
        <v>0</v>
      </c>
      <c r="L43" s="85">
        <v>0</v>
      </c>
      <c r="M43" s="85">
        <v>0</v>
      </c>
      <c r="N43" s="85">
        <v>0</v>
      </c>
      <c r="O43" s="85">
        <v>0</v>
      </c>
      <c r="P43" s="85">
        <v>0</v>
      </c>
      <c r="Q43" s="85">
        <v>0</v>
      </c>
      <c r="R43" s="85">
        <v>0</v>
      </c>
      <c r="S43" s="85">
        <v>0</v>
      </c>
      <c r="T43" s="85">
        <f t="shared" si="0"/>
        <v>60</v>
      </c>
      <c r="U43" s="91"/>
      <c r="V43" s="89">
        <f t="shared" si="1"/>
        <v>6.5257379574309189</v>
      </c>
      <c r="W43" s="89">
        <f t="shared" si="2"/>
        <v>0</v>
      </c>
      <c r="X43" s="89">
        <f t="shared" si="3"/>
        <v>32.299999999999997</v>
      </c>
      <c r="Y43" s="89">
        <f t="shared" si="12"/>
        <v>25.106250000000003</v>
      </c>
      <c r="Z43" s="89">
        <f>IF(ISNUMBER(SEARCH("CCR4", E43)),(T43-K43)*$Z$3, 0)</f>
        <v>12.417364278744502</v>
      </c>
      <c r="AA43" s="89">
        <f t="shared" si="4"/>
        <v>0</v>
      </c>
      <c r="AB43" s="89">
        <f t="shared" si="14"/>
        <v>0</v>
      </c>
      <c r="AC43" s="89">
        <f t="shared" si="5"/>
        <v>0</v>
      </c>
      <c r="AD43" s="89">
        <f t="shared" si="6"/>
        <v>0</v>
      </c>
      <c r="AE43" s="89">
        <f t="shared" si="7"/>
        <v>0</v>
      </c>
      <c r="AF43" s="89">
        <f t="shared" si="8"/>
        <v>0</v>
      </c>
      <c r="AG43" s="89">
        <f t="shared" si="9"/>
        <v>0</v>
      </c>
      <c r="AH43" s="89">
        <f t="shared" si="10"/>
        <v>0</v>
      </c>
      <c r="AI43" s="89">
        <v>0</v>
      </c>
      <c r="AJ43" s="89"/>
      <c r="AK43" s="89">
        <v>0</v>
      </c>
      <c r="AL43" s="153">
        <f t="shared" si="23"/>
        <v>76.34935223617542</v>
      </c>
      <c r="AM43" s="120"/>
      <c r="AN43" s="301"/>
      <c r="AO43" s="192" t="s">
        <v>300</v>
      </c>
      <c r="AP43" s="140">
        <v>2</v>
      </c>
      <c r="AQ43" s="142" t="s">
        <v>87</v>
      </c>
      <c r="AR43" s="120"/>
      <c r="AT43" s="44" t="s">
        <v>200</v>
      </c>
      <c r="AU43" s="45">
        <f>SUM(AL43:AL51)</f>
        <v>612.38110607445446</v>
      </c>
      <c r="AZ43" s="79">
        <f>AY39+6*(BA39)+BF39+3*BI39</f>
        <v>11930.517021651782</v>
      </c>
      <c r="BI43"/>
      <c r="BJ43"/>
      <c r="BK43"/>
      <c r="BL43"/>
      <c r="BM43"/>
      <c r="BN43"/>
      <c r="BO43"/>
      <c r="BP43"/>
      <c r="BQ43"/>
      <c r="BR43"/>
      <c r="BS43"/>
      <c r="BT43"/>
      <c r="BU43"/>
    </row>
    <row r="44" spans="1:73" ht="23.25">
      <c r="A44" s="121"/>
      <c r="B44" s="303"/>
      <c r="C44" s="84">
        <v>6</v>
      </c>
      <c r="D44" s="117" t="s">
        <v>477</v>
      </c>
      <c r="E44" s="151"/>
      <c r="F44" s="85">
        <v>0</v>
      </c>
      <c r="G44" s="85">
        <v>10</v>
      </c>
      <c r="H44" s="85">
        <v>0</v>
      </c>
      <c r="I44" s="85">
        <v>10</v>
      </c>
      <c r="J44" s="85">
        <v>10</v>
      </c>
      <c r="K44" s="85">
        <v>0</v>
      </c>
      <c r="L44" s="85">
        <v>0</v>
      </c>
      <c r="M44" s="85">
        <v>0</v>
      </c>
      <c r="N44" s="85">
        <v>0</v>
      </c>
      <c r="O44" s="85">
        <v>0</v>
      </c>
      <c r="P44" s="85">
        <v>0</v>
      </c>
      <c r="Q44" s="85">
        <v>0</v>
      </c>
      <c r="R44" s="85">
        <v>0</v>
      </c>
      <c r="S44" s="85">
        <v>0</v>
      </c>
      <c r="T44" s="85">
        <f t="shared" si="0"/>
        <v>0</v>
      </c>
      <c r="U44" s="91"/>
      <c r="V44" s="89">
        <f t="shared" si="1"/>
        <v>0</v>
      </c>
      <c r="W44" s="89">
        <f t="shared" si="2"/>
        <v>0</v>
      </c>
      <c r="X44" s="89">
        <f t="shared" si="3"/>
        <v>0</v>
      </c>
      <c r="Y44" s="89">
        <f t="shared" si="12"/>
        <v>0</v>
      </c>
      <c r="Z44" s="89">
        <f>IF(ISNUMBER(SEARCH("CCR4", E44)),(T44-K44)*$Z$3, 0)</f>
        <v>0</v>
      </c>
      <c r="AA44" s="89">
        <f t="shared" si="4"/>
        <v>0</v>
      </c>
      <c r="AB44" s="89">
        <f t="shared" si="14"/>
        <v>0</v>
      </c>
      <c r="AC44" s="89">
        <f t="shared" si="5"/>
        <v>0</v>
      </c>
      <c r="AD44" s="89">
        <f t="shared" si="6"/>
        <v>0</v>
      </c>
      <c r="AE44" s="89">
        <f t="shared" si="7"/>
        <v>0</v>
      </c>
      <c r="AF44" s="89">
        <f t="shared" si="8"/>
        <v>0</v>
      </c>
      <c r="AG44" s="89">
        <f t="shared" si="9"/>
        <v>0</v>
      </c>
      <c r="AH44" s="89">
        <f t="shared" si="10"/>
        <v>0</v>
      </c>
      <c r="AI44" s="89">
        <v>0</v>
      </c>
      <c r="AJ44" s="89"/>
      <c r="AK44" s="89">
        <v>0</v>
      </c>
      <c r="AL44" s="153">
        <f t="shared" si="23"/>
        <v>0</v>
      </c>
      <c r="AM44" s="120"/>
      <c r="AN44" s="301"/>
      <c r="AO44" s="192" t="s">
        <v>56</v>
      </c>
      <c r="AP44" s="140" t="s">
        <v>18</v>
      </c>
      <c r="AQ44" s="142" t="s">
        <v>45</v>
      </c>
      <c r="AR44" s="120"/>
      <c r="AT44" s="44" t="s">
        <v>201</v>
      </c>
      <c r="AU44" s="46"/>
      <c r="BC44" s="79">
        <f>2*BC39+AY39</f>
        <v>2362.8886233221642</v>
      </c>
    </row>
    <row r="45" spans="1:73" ht="23.25">
      <c r="A45" s="121"/>
      <c r="B45" s="303"/>
      <c r="C45" s="84">
        <v>7</v>
      </c>
      <c r="D45" s="85" t="s">
        <v>478</v>
      </c>
      <c r="E45" s="151" t="s">
        <v>51</v>
      </c>
      <c r="F45" s="85">
        <f>F44</f>
        <v>0</v>
      </c>
      <c r="G45" s="85">
        <v>10</v>
      </c>
      <c r="H45" s="85">
        <v>0</v>
      </c>
      <c r="I45" s="85">
        <v>10</v>
      </c>
      <c r="J45" s="85">
        <v>10</v>
      </c>
      <c r="K45" s="85">
        <v>0</v>
      </c>
      <c r="L45" s="85">
        <v>0</v>
      </c>
      <c r="M45" s="85">
        <v>0</v>
      </c>
      <c r="N45" s="85">
        <v>0</v>
      </c>
      <c r="O45" s="85">
        <v>0</v>
      </c>
      <c r="P45" s="85">
        <v>0</v>
      </c>
      <c r="Q45" s="85">
        <v>0</v>
      </c>
      <c r="R45" s="85">
        <v>0</v>
      </c>
      <c r="S45" s="85">
        <v>0</v>
      </c>
      <c r="T45" s="85">
        <f t="shared" si="0"/>
        <v>0</v>
      </c>
      <c r="U45" s="91"/>
      <c r="V45" s="89">
        <f t="shared" si="1"/>
        <v>0</v>
      </c>
      <c r="W45" s="89">
        <f t="shared" si="2"/>
        <v>0</v>
      </c>
      <c r="X45" s="89">
        <f t="shared" si="3"/>
        <v>0</v>
      </c>
      <c r="Y45" s="89">
        <f t="shared" si="12"/>
        <v>0</v>
      </c>
      <c r="Z45" s="89">
        <f t="shared" si="13"/>
        <v>0</v>
      </c>
      <c r="AA45" s="89">
        <f t="shared" si="4"/>
        <v>0</v>
      </c>
      <c r="AB45" s="89">
        <f t="shared" si="14"/>
        <v>0</v>
      </c>
      <c r="AC45" s="89">
        <f t="shared" si="5"/>
        <v>0</v>
      </c>
      <c r="AD45" s="89">
        <f t="shared" si="6"/>
        <v>0</v>
      </c>
      <c r="AE45" s="89">
        <f t="shared" si="7"/>
        <v>0</v>
      </c>
      <c r="AF45" s="89">
        <f t="shared" si="8"/>
        <v>0</v>
      </c>
      <c r="AG45" s="89">
        <f t="shared" si="9"/>
        <v>0</v>
      </c>
      <c r="AH45" s="89">
        <f t="shared" si="10"/>
        <v>0</v>
      </c>
      <c r="AI45" s="89">
        <v>0</v>
      </c>
      <c r="AJ45" s="89">
        <f>inputs!$E$25</f>
        <v>163.80000000000001</v>
      </c>
      <c r="AK45" s="89">
        <v>0</v>
      </c>
      <c r="AL45" s="153">
        <f t="shared" si="23"/>
        <v>163.80000000000001</v>
      </c>
      <c r="AM45" s="120"/>
      <c r="AN45" s="301"/>
      <c r="AO45" s="193" t="s">
        <v>59</v>
      </c>
      <c r="AP45" s="164" t="s">
        <v>18</v>
      </c>
      <c r="AQ45" s="165" t="s">
        <v>45</v>
      </c>
      <c r="AR45" s="120"/>
      <c r="AT45" s="44" t="s">
        <v>223</v>
      </c>
      <c r="AU45" s="46"/>
    </row>
    <row r="46" spans="1:73" ht="23.25">
      <c r="A46" s="121"/>
      <c r="B46" s="303"/>
      <c r="C46" s="84">
        <v>8</v>
      </c>
      <c r="D46" s="85" t="s">
        <v>471</v>
      </c>
      <c r="E46" s="151" t="s">
        <v>152</v>
      </c>
      <c r="F46" s="85">
        <v>1</v>
      </c>
      <c r="G46" s="85">
        <v>30</v>
      </c>
      <c r="H46" s="85">
        <v>0</v>
      </c>
      <c r="I46" s="85">
        <v>30</v>
      </c>
      <c r="J46" s="85">
        <v>30</v>
      </c>
      <c r="K46" s="85">
        <v>0</v>
      </c>
      <c r="L46" s="85">
        <v>0</v>
      </c>
      <c r="M46" s="85">
        <v>0</v>
      </c>
      <c r="N46" s="85">
        <v>0</v>
      </c>
      <c r="O46" s="85">
        <v>0</v>
      </c>
      <c r="P46" s="85">
        <v>0</v>
      </c>
      <c r="Q46" s="85">
        <v>0</v>
      </c>
      <c r="R46" s="85">
        <v>0</v>
      </c>
      <c r="S46" s="85">
        <v>0</v>
      </c>
      <c r="T46" s="85">
        <f t="shared" si="0"/>
        <v>60</v>
      </c>
      <c r="U46" s="91"/>
      <c r="V46" s="89">
        <f t="shared" si="1"/>
        <v>6.5257379574309189</v>
      </c>
      <c r="W46" s="89">
        <f t="shared" si="2"/>
        <v>0</v>
      </c>
      <c r="X46" s="89">
        <f t="shared" si="3"/>
        <v>32.299999999999997</v>
      </c>
      <c r="Y46" s="89">
        <f t="shared" si="12"/>
        <v>25.106250000000003</v>
      </c>
      <c r="Z46" s="89">
        <f>IF(ISNUMBER(SEARCH("CCR4", E46)),(T46-K46)*$Z$3, 0)</f>
        <v>12.417364278744502</v>
      </c>
      <c r="AA46" s="89">
        <f t="shared" si="4"/>
        <v>0</v>
      </c>
      <c r="AB46" s="89">
        <f t="shared" si="14"/>
        <v>0</v>
      </c>
      <c r="AC46" s="89">
        <f t="shared" si="5"/>
        <v>0</v>
      </c>
      <c r="AD46" s="89">
        <f t="shared" si="6"/>
        <v>0</v>
      </c>
      <c r="AE46" s="89">
        <f t="shared" si="7"/>
        <v>0</v>
      </c>
      <c r="AF46" s="89">
        <f t="shared" si="8"/>
        <v>0</v>
      </c>
      <c r="AG46" s="89">
        <f t="shared" si="9"/>
        <v>0</v>
      </c>
      <c r="AH46" s="89">
        <f t="shared" si="10"/>
        <v>0</v>
      </c>
      <c r="AI46" s="89">
        <v>0</v>
      </c>
      <c r="AJ46" s="89"/>
      <c r="AK46" s="89">
        <v>0</v>
      </c>
      <c r="AL46" s="153">
        <f t="shared" si="23"/>
        <v>76.34935223617542</v>
      </c>
      <c r="AM46" s="120"/>
      <c r="AN46" s="120"/>
      <c r="AO46" s="122"/>
      <c r="AP46" s="120"/>
      <c r="AQ46" s="120"/>
      <c r="AR46" s="120"/>
      <c r="AT46" s="44" t="s">
        <v>202</v>
      </c>
      <c r="AU46" s="46"/>
    </row>
    <row r="47" spans="1:73" ht="23.25">
      <c r="A47" s="121"/>
      <c r="B47" s="303"/>
      <c r="C47" s="84">
        <v>9</v>
      </c>
      <c r="D47" s="85" t="s">
        <v>478</v>
      </c>
      <c r="E47" s="151" t="s">
        <v>51</v>
      </c>
      <c r="F47" s="85">
        <v>1</v>
      </c>
      <c r="G47" s="85">
        <v>30</v>
      </c>
      <c r="H47" s="85">
        <v>0</v>
      </c>
      <c r="I47" s="85">
        <v>15</v>
      </c>
      <c r="J47" s="85">
        <v>0</v>
      </c>
      <c r="K47" s="85">
        <v>0</v>
      </c>
      <c r="L47" s="85">
        <v>0</v>
      </c>
      <c r="M47" s="85">
        <v>0</v>
      </c>
      <c r="N47" s="85">
        <v>0</v>
      </c>
      <c r="O47" s="85">
        <v>0</v>
      </c>
      <c r="P47" s="85">
        <v>0</v>
      </c>
      <c r="Q47" s="85">
        <v>0</v>
      </c>
      <c r="R47" s="85">
        <v>0</v>
      </c>
      <c r="S47" s="85">
        <v>0</v>
      </c>
      <c r="T47" s="85">
        <f t="shared" si="0"/>
        <v>15</v>
      </c>
      <c r="U47" s="91"/>
      <c r="V47" s="89">
        <f t="shared" si="1"/>
        <v>1.6314344893577297</v>
      </c>
      <c r="W47" s="89">
        <f t="shared" si="2"/>
        <v>0</v>
      </c>
      <c r="X47" s="89">
        <f t="shared" si="3"/>
        <v>16.149999999999999</v>
      </c>
      <c r="Y47" s="89">
        <f t="shared" si="12"/>
        <v>0</v>
      </c>
      <c r="Z47" s="89">
        <f t="shared" si="13"/>
        <v>0</v>
      </c>
      <c r="AA47" s="89">
        <f t="shared" si="4"/>
        <v>0</v>
      </c>
      <c r="AB47" s="89">
        <f t="shared" si="14"/>
        <v>0</v>
      </c>
      <c r="AC47" s="89">
        <f t="shared" si="5"/>
        <v>0</v>
      </c>
      <c r="AD47" s="89">
        <f t="shared" si="6"/>
        <v>0</v>
      </c>
      <c r="AE47" s="89">
        <f t="shared" si="7"/>
        <v>0</v>
      </c>
      <c r="AF47" s="89">
        <f t="shared" si="8"/>
        <v>0</v>
      </c>
      <c r="AG47" s="89">
        <f t="shared" si="9"/>
        <v>0</v>
      </c>
      <c r="AH47" s="89">
        <f t="shared" si="10"/>
        <v>0</v>
      </c>
      <c r="AI47" s="89">
        <v>0</v>
      </c>
      <c r="AJ47" s="89"/>
      <c r="AK47" s="89">
        <v>0</v>
      </c>
      <c r="AL47" s="153">
        <f t="shared" si="23"/>
        <v>17.781434489357729</v>
      </c>
      <c r="AM47" s="120"/>
      <c r="AN47" s="120"/>
      <c r="AO47" s="120"/>
      <c r="AP47" s="120"/>
      <c r="AQ47" s="120"/>
      <c r="AR47" s="120"/>
      <c r="AT47" s="44" t="s">
        <v>224</v>
      </c>
      <c r="AU47" s="46"/>
    </row>
    <row r="48" spans="1:73" ht="24" thickBot="1">
      <c r="A48" s="121"/>
      <c r="B48" s="303"/>
      <c r="C48" s="84">
        <v>10</v>
      </c>
      <c r="D48" s="85" t="s">
        <v>471</v>
      </c>
      <c r="E48" s="151" t="s">
        <v>152</v>
      </c>
      <c r="F48" s="85">
        <v>1</v>
      </c>
      <c r="G48" s="85">
        <v>30</v>
      </c>
      <c r="H48" s="85">
        <v>0</v>
      </c>
      <c r="I48" s="85">
        <v>30</v>
      </c>
      <c r="J48" s="85">
        <v>30</v>
      </c>
      <c r="K48" s="85">
        <v>0</v>
      </c>
      <c r="L48" s="85">
        <v>0</v>
      </c>
      <c r="M48" s="85">
        <v>0</v>
      </c>
      <c r="N48" s="85">
        <v>0</v>
      </c>
      <c r="O48" s="85">
        <v>0</v>
      </c>
      <c r="P48" s="85">
        <v>0</v>
      </c>
      <c r="Q48" s="85">
        <v>0</v>
      </c>
      <c r="R48" s="85">
        <v>0</v>
      </c>
      <c r="S48" s="85">
        <v>0</v>
      </c>
      <c r="T48" s="85">
        <f t="shared" si="0"/>
        <v>60</v>
      </c>
      <c r="U48" s="91"/>
      <c r="V48" s="89">
        <f t="shared" si="1"/>
        <v>6.5257379574309189</v>
      </c>
      <c r="W48" s="89">
        <f t="shared" si="2"/>
        <v>0</v>
      </c>
      <c r="X48" s="89">
        <f t="shared" si="3"/>
        <v>32.299999999999997</v>
      </c>
      <c r="Y48" s="89">
        <f t="shared" si="12"/>
        <v>25.106250000000003</v>
      </c>
      <c r="Z48" s="89">
        <f t="shared" si="13"/>
        <v>12.417364278744502</v>
      </c>
      <c r="AA48" s="89">
        <f t="shared" si="4"/>
        <v>0</v>
      </c>
      <c r="AB48" s="89">
        <f t="shared" si="14"/>
        <v>0</v>
      </c>
      <c r="AC48" s="89">
        <f t="shared" si="5"/>
        <v>0</v>
      </c>
      <c r="AD48" s="89">
        <f t="shared" si="6"/>
        <v>0</v>
      </c>
      <c r="AE48" s="89">
        <f t="shared" si="7"/>
        <v>0</v>
      </c>
      <c r="AF48" s="89">
        <f t="shared" si="8"/>
        <v>0</v>
      </c>
      <c r="AG48" s="89">
        <f t="shared" si="9"/>
        <v>0</v>
      </c>
      <c r="AH48" s="89">
        <f t="shared" si="10"/>
        <v>0</v>
      </c>
      <c r="AI48" s="89">
        <v>0</v>
      </c>
      <c r="AJ48" s="89"/>
      <c r="AK48" s="89">
        <v>0</v>
      </c>
      <c r="AL48" s="153">
        <f t="shared" si="23"/>
        <v>76.34935223617542</v>
      </c>
      <c r="AM48" s="120"/>
      <c r="AN48" s="120"/>
      <c r="AO48" s="159"/>
      <c r="AP48" s="120"/>
      <c r="AQ48" s="120"/>
      <c r="AR48" s="120"/>
      <c r="AT48" s="44" t="s">
        <v>203</v>
      </c>
      <c r="AU48" s="50">
        <f>SUM(AL54:AL58)</f>
        <v>239.10864934007344</v>
      </c>
    </row>
    <row r="49" spans="1:52" ht="24" thickTop="1">
      <c r="A49" s="121"/>
      <c r="B49" s="303"/>
      <c r="C49" s="84">
        <v>11</v>
      </c>
      <c r="D49" s="85" t="s">
        <v>478</v>
      </c>
      <c r="E49" s="151" t="s">
        <v>51</v>
      </c>
      <c r="F49" s="85">
        <v>1</v>
      </c>
      <c r="G49" s="85">
        <v>30</v>
      </c>
      <c r="H49" s="85">
        <v>0</v>
      </c>
      <c r="I49" s="85">
        <v>15</v>
      </c>
      <c r="J49" s="85">
        <v>0</v>
      </c>
      <c r="K49" s="85">
        <v>0</v>
      </c>
      <c r="L49" s="85">
        <v>0</v>
      </c>
      <c r="M49" s="85">
        <v>0</v>
      </c>
      <c r="N49" s="85">
        <v>0</v>
      </c>
      <c r="O49" s="85">
        <v>0</v>
      </c>
      <c r="P49" s="85">
        <v>0</v>
      </c>
      <c r="Q49" s="85">
        <v>0</v>
      </c>
      <c r="R49" s="85">
        <v>0</v>
      </c>
      <c r="S49" s="85">
        <v>0</v>
      </c>
      <c r="T49" s="85">
        <f t="shared" si="0"/>
        <v>15</v>
      </c>
      <c r="U49" s="91"/>
      <c r="V49" s="89">
        <f t="shared" si="1"/>
        <v>1.6314344893577297</v>
      </c>
      <c r="W49" s="89">
        <f t="shared" si="2"/>
        <v>0</v>
      </c>
      <c r="X49" s="89">
        <f t="shared" si="3"/>
        <v>16.149999999999999</v>
      </c>
      <c r="Y49" s="89">
        <f t="shared" si="12"/>
        <v>0</v>
      </c>
      <c r="Z49" s="89">
        <f t="shared" si="13"/>
        <v>0</v>
      </c>
      <c r="AA49" s="89">
        <f t="shared" si="4"/>
        <v>0</v>
      </c>
      <c r="AB49" s="89">
        <f t="shared" si="14"/>
        <v>0</v>
      </c>
      <c r="AC49" s="89">
        <f t="shared" si="5"/>
        <v>0</v>
      </c>
      <c r="AD49" s="89">
        <f t="shared" si="6"/>
        <v>0</v>
      </c>
      <c r="AE49" s="89">
        <f t="shared" si="7"/>
        <v>0</v>
      </c>
      <c r="AF49" s="89">
        <f t="shared" si="8"/>
        <v>0</v>
      </c>
      <c r="AG49" s="89">
        <f t="shared" si="9"/>
        <v>0</v>
      </c>
      <c r="AH49" s="89">
        <f t="shared" si="10"/>
        <v>0</v>
      </c>
      <c r="AI49" s="89">
        <v>0</v>
      </c>
      <c r="AJ49" s="89"/>
      <c r="AK49" s="89">
        <v>0</v>
      </c>
      <c r="AL49" s="153">
        <f t="shared" si="23"/>
        <v>17.781434489357729</v>
      </c>
      <c r="AM49" s="120"/>
      <c r="AN49" s="120"/>
      <c r="AO49" s="120"/>
      <c r="AP49" s="120"/>
      <c r="AQ49" s="120"/>
      <c r="AR49" s="120"/>
      <c r="AT49" s="47" t="s">
        <v>204</v>
      </c>
      <c r="AU49" s="37">
        <f>SUM(AU42:AU48)</f>
        <v>929.60630286131664</v>
      </c>
    </row>
    <row r="50" spans="1:52" ht="23.25">
      <c r="A50" s="121"/>
      <c r="B50" s="303"/>
      <c r="C50" s="84">
        <v>12</v>
      </c>
      <c r="D50" s="85" t="s">
        <v>471</v>
      </c>
      <c r="E50" s="151" t="s">
        <v>152</v>
      </c>
      <c r="F50" s="85">
        <v>2</v>
      </c>
      <c r="G50" s="85">
        <v>30</v>
      </c>
      <c r="H50" s="85">
        <v>0</v>
      </c>
      <c r="I50" s="85">
        <v>30</v>
      </c>
      <c r="J50" s="85">
        <v>30</v>
      </c>
      <c r="K50" s="85">
        <v>0</v>
      </c>
      <c r="L50" s="85">
        <v>0</v>
      </c>
      <c r="M50" s="85">
        <v>0</v>
      </c>
      <c r="N50" s="85">
        <v>0</v>
      </c>
      <c r="O50" s="85">
        <v>0</v>
      </c>
      <c r="P50" s="85">
        <v>0</v>
      </c>
      <c r="Q50" s="85">
        <v>0</v>
      </c>
      <c r="R50" s="85">
        <v>0</v>
      </c>
      <c r="S50" s="85">
        <v>0</v>
      </c>
      <c r="T50" s="85">
        <f t="shared" si="0"/>
        <v>120</v>
      </c>
      <c r="U50" s="91"/>
      <c r="V50" s="89">
        <f t="shared" si="1"/>
        <v>26.102951829723676</v>
      </c>
      <c r="W50" s="89">
        <f t="shared" si="2"/>
        <v>0</v>
      </c>
      <c r="X50" s="89">
        <f t="shared" si="3"/>
        <v>64.599999999999994</v>
      </c>
      <c r="Y50" s="89">
        <f t="shared" si="12"/>
        <v>50.212500000000006</v>
      </c>
      <c r="Z50" s="89">
        <f t="shared" si="13"/>
        <v>24.834728557489004</v>
      </c>
      <c r="AA50" s="89">
        <f t="shared" si="4"/>
        <v>0</v>
      </c>
      <c r="AB50" s="89">
        <f t="shared" si="14"/>
        <v>0</v>
      </c>
      <c r="AC50" s="89">
        <f t="shared" si="5"/>
        <v>0</v>
      </c>
      <c r="AD50" s="89">
        <f t="shared" si="6"/>
        <v>0</v>
      </c>
      <c r="AE50" s="89">
        <f t="shared" si="7"/>
        <v>0</v>
      </c>
      <c r="AF50" s="89">
        <f t="shared" si="8"/>
        <v>0</v>
      </c>
      <c r="AG50" s="89">
        <f t="shared" si="9"/>
        <v>0</v>
      </c>
      <c r="AH50" s="89">
        <f t="shared" si="10"/>
        <v>0</v>
      </c>
      <c r="AI50" s="89">
        <v>0</v>
      </c>
      <c r="AJ50" s="89"/>
      <c r="AK50" s="89">
        <v>0</v>
      </c>
      <c r="AL50" s="153">
        <f t="shared" si="23"/>
        <v>165.75018038721268</v>
      </c>
      <c r="AM50" s="181"/>
      <c r="AN50" s="121"/>
      <c r="AO50" s="121"/>
      <c r="AP50" s="121"/>
      <c r="AQ50" s="121"/>
      <c r="AR50" s="120"/>
    </row>
    <row r="51" spans="1:52" ht="23.25">
      <c r="A51" s="121"/>
      <c r="B51" s="303"/>
      <c r="C51" s="84">
        <v>13</v>
      </c>
      <c r="D51" s="85" t="s">
        <v>479</v>
      </c>
      <c r="E51" s="151"/>
      <c r="F51" s="85">
        <v>1</v>
      </c>
      <c r="G51" s="85">
        <v>0</v>
      </c>
      <c r="H51" s="85">
        <v>0</v>
      </c>
      <c r="I51" s="85">
        <v>0</v>
      </c>
      <c r="J51" s="85">
        <v>0</v>
      </c>
      <c r="K51" s="85">
        <v>0</v>
      </c>
      <c r="L51" s="85">
        <v>0</v>
      </c>
      <c r="M51" s="85">
        <v>0</v>
      </c>
      <c r="N51" s="85">
        <v>0</v>
      </c>
      <c r="O51" s="85">
        <v>0</v>
      </c>
      <c r="P51" s="85">
        <v>0</v>
      </c>
      <c r="Q51" s="85">
        <v>0</v>
      </c>
      <c r="R51" s="85">
        <v>0</v>
      </c>
      <c r="S51" s="85">
        <v>0</v>
      </c>
      <c r="T51" s="85">
        <f t="shared" si="0"/>
        <v>0</v>
      </c>
      <c r="U51" s="91"/>
      <c r="V51" s="89">
        <f t="shared" si="1"/>
        <v>0</v>
      </c>
      <c r="W51" s="89">
        <f t="shared" si="2"/>
        <v>0</v>
      </c>
      <c r="X51" s="89">
        <f t="shared" si="3"/>
        <v>0</v>
      </c>
      <c r="Y51" s="89">
        <f t="shared" si="12"/>
        <v>0</v>
      </c>
      <c r="Z51" s="89">
        <f t="shared" si="13"/>
        <v>0</v>
      </c>
      <c r="AA51" s="89">
        <f t="shared" si="4"/>
        <v>0</v>
      </c>
      <c r="AB51" s="89">
        <f t="shared" si="14"/>
        <v>0</v>
      </c>
      <c r="AC51" s="89">
        <f t="shared" si="5"/>
        <v>0</v>
      </c>
      <c r="AD51" s="89">
        <f t="shared" si="6"/>
        <v>0</v>
      </c>
      <c r="AE51" s="89">
        <f t="shared" si="7"/>
        <v>0</v>
      </c>
      <c r="AF51" s="89">
        <f t="shared" si="8"/>
        <v>0</v>
      </c>
      <c r="AG51" s="89">
        <f t="shared" si="9"/>
        <v>0</v>
      </c>
      <c r="AH51" s="89">
        <f t="shared" si="10"/>
        <v>0</v>
      </c>
      <c r="AI51" s="89">
        <v>0</v>
      </c>
      <c r="AJ51" s="89">
        <f>inputs!$E$30*F51</f>
        <v>18.22</v>
      </c>
      <c r="AK51" s="89">
        <v>0</v>
      </c>
      <c r="AL51" s="153">
        <f t="shared" si="23"/>
        <v>18.22</v>
      </c>
      <c r="AM51" s="121"/>
      <c r="AN51" s="121"/>
      <c r="AO51" s="121"/>
      <c r="AP51" s="121"/>
      <c r="AQ51" s="121"/>
      <c r="AR51" s="120"/>
    </row>
    <row r="52" spans="1:52" ht="23.25">
      <c r="A52" s="121"/>
      <c r="B52" s="303"/>
      <c r="C52" s="84">
        <v>14</v>
      </c>
      <c r="D52" s="85" t="s">
        <v>481</v>
      </c>
      <c r="E52" s="151" t="s">
        <v>79</v>
      </c>
      <c r="F52" s="85">
        <f>IF(AP44="no", 0, 1)</f>
        <v>0</v>
      </c>
      <c r="G52" s="85">
        <v>10</v>
      </c>
      <c r="H52" s="85">
        <v>0</v>
      </c>
      <c r="I52" s="85">
        <v>0</v>
      </c>
      <c r="J52" s="85">
        <v>0</v>
      </c>
      <c r="K52" s="85">
        <v>46</v>
      </c>
      <c r="L52" s="85">
        <v>0</v>
      </c>
      <c r="M52" s="85">
        <v>0</v>
      </c>
      <c r="N52" s="85">
        <v>0</v>
      </c>
      <c r="O52" s="85">
        <v>0</v>
      </c>
      <c r="P52" s="85">
        <v>0</v>
      </c>
      <c r="Q52" s="85">
        <v>0</v>
      </c>
      <c r="R52" s="85">
        <v>0</v>
      </c>
      <c r="S52" s="85">
        <v>0</v>
      </c>
      <c r="T52" s="85">
        <f t="shared" si="0"/>
        <v>0</v>
      </c>
      <c r="U52" s="91"/>
      <c r="V52" s="89">
        <f t="shared" si="1"/>
        <v>0</v>
      </c>
      <c r="W52" s="89">
        <f t="shared" si="2"/>
        <v>0</v>
      </c>
      <c r="X52" s="89">
        <f t="shared" si="3"/>
        <v>0</v>
      </c>
      <c r="Y52" s="89">
        <f t="shared" si="12"/>
        <v>0</v>
      </c>
      <c r="Z52" s="89">
        <f t="shared" si="13"/>
        <v>0</v>
      </c>
      <c r="AA52" s="89">
        <f t="shared" si="4"/>
        <v>0</v>
      </c>
      <c r="AB52" s="89">
        <f t="shared" si="14"/>
        <v>0</v>
      </c>
      <c r="AC52" s="89">
        <f t="shared" si="5"/>
        <v>0</v>
      </c>
      <c r="AD52" s="89">
        <f t="shared" si="6"/>
        <v>0</v>
      </c>
      <c r="AE52" s="89">
        <f t="shared" si="7"/>
        <v>0</v>
      </c>
      <c r="AF52" s="89">
        <f t="shared" si="8"/>
        <v>0</v>
      </c>
      <c r="AG52" s="89">
        <f t="shared" si="9"/>
        <v>0</v>
      </c>
      <c r="AH52" s="89">
        <f t="shared" si="10"/>
        <v>0</v>
      </c>
      <c r="AI52" s="89">
        <f>F53*inputs!E45</f>
        <v>0</v>
      </c>
      <c r="AJ52" s="89">
        <f>inputs!E45*F53</f>
        <v>0</v>
      </c>
      <c r="AK52" s="89">
        <v>0</v>
      </c>
      <c r="AL52" s="175">
        <f t="shared" si="23"/>
        <v>0</v>
      </c>
      <c r="AM52" s="121"/>
      <c r="AN52" s="121"/>
      <c r="AO52" s="121"/>
      <c r="AP52" s="121"/>
      <c r="AQ52" s="121"/>
      <c r="AR52" s="120"/>
    </row>
    <row r="53" spans="1:52" ht="24" thickBot="1">
      <c r="A53" s="121"/>
      <c r="B53" s="303"/>
      <c r="C53" s="84">
        <v>15</v>
      </c>
      <c r="D53" s="85" t="s">
        <v>482</v>
      </c>
      <c r="E53" s="151" t="s">
        <v>79</v>
      </c>
      <c r="F53" s="85">
        <f>IF(AP44="no", 0, 1)</f>
        <v>0</v>
      </c>
      <c r="G53" s="85">
        <v>30</v>
      </c>
      <c r="H53" s="85">
        <v>0</v>
      </c>
      <c r="I53" s="85">
        <v>40</v>
      </c>
      <c r="J53" s="85">
        <v>40</v>
      </c>
      <c r="K53" s="85">
        <v>5.7</v>
      </c>
      <c r="L53" s="85">
        <v>0</v>
      </c>
      <c r="M53" s="85">
        <v>0</v>
      </c>
      <c r="N53" s="85">
        <v>0</v>
      </c>
      <c r="O53" s="85">
        <v>0</v>
      </c>
      <c r="P53" s="85">
        <v>0</v>
      </c>
      <c r="Q53" s="85">
        <v>10</v>
      </c>
      <c r="R53" s="85">
        <v>0</v>
      </c>
      <c r="S53" s="85">
        <v>0</v>
      </c>
      <c r="T53" s="85">
        <f t="shared" si="0"/>
        <v>0</v>
      </c>
      <c r="U53" s="91"/>
      <c r="V53" s="89">
        <f t="shared" si="1"/>
        <v>0</v>
      </c>
      <c r="W53" s="89">
        <f t="shared" si="2"/>
        <v>0</v>
      </c>
      <c r="X53" s="89">
        <f t="shared" si="3"/>
        <v>0</v>
      </c>
      <c r="Y53" s="89">
        <f t="shared" si="12"/>
        <v>0</v>
      </c>
      <c r="Z53" s="89">
        <f t="shared" si="13"/>
        <v>0</v>
      </c>
      <c r="AA53" s="89">
        <f t="shared" si="4"/>
        <v>0</v>
      </c>
      <c r="AB53" s="89">
        <f t="shared" si="14"/>
        <v>0</v>
      </c>
      <c r="AC53" s="89">
        <f t="shared" si="5"/>
        <v>0</v>
      </c>
      <c r="AD53" s="89">
        <f t="shared" si="6"/>
        <v>0</v>
      </c>
      <c r="AE53" s="89">
        <f t="shared" si="7"/>
        <v>0</v>
      </c>
      <c r="AF53" s="89">
        <f t="shared" si="8"/>
        <v>0</v>
      </c>
      <c r="AG53" s="89">
        <f t="shared" si="9"/>
        <v>0</v>
      </c>
      <c r="AH53" s="89">
        <f t="shared" si="10"/>
        <v>0</v>
      </c>
      <c r="AI53" s="89">
        <f>inputs!E45*F246</f>
        <v>0</v>
      </c>
      <c r="AJ53" s="89"/>
      <c r="AK53" s="89">
        <v>0</v>
      </c>
      <c r="AL53" s="175">
        <f t="shared" si="23"/>
        <v>0</v>
      </c>
      <c r="AM53" s="121"/>
      <c r="AN53" s="121"/>
      <c r="AO53" s="121"/>
      <c r="AP53" s="121"/>
      <c r="AQ53" s="121"/>
      <c r="AR53" s="120"/>
    </row>
    <row r="54" spans="1:52" ht="23.25" customHeight="1" thickBot="1">
      <c r="A54" s="121"/>
      <c r="B54" s="303"/>
      <c r="C54" s="84">
        <v>16</v>
      </c>
      <c r="D54" s="85" t="s">
        <v>483</v>
      </c>
      <c r="E54" s="151"/>
      <c r="F54" s="85">
        <v>1</v>
      </c>
      <c r="G54" s="85">
        <v>0</v>
      </c>
      <c r="H54" s="85">
        <v>0</v>
      </c>
      <c r="I54" s="85">
        <v>0</v>
      </c>
      <c r="J54" s="85">
        <v>0</v>
      </c>
      <c r="K54" s="85">
        <v>0</v>
      </c>
      <c r="L54" s="85">
        <v>0</v>
      </c>
      <c r="M54" s="85">
        <v>0</v>
      </c>
      <c r="N54" s="85">
        <v>0</v>
      </c>
      <c r="O54" s="85">
        <v>0</v>
      </c>
      <c r="P54" s="85">
        <v>0</v>
      </c>
      <c r="Q54" s="85">
        <v>0</v>
      </c>
      <c r="R54" s="85">
        <v>0</v>
      </c>
      <c r="S54" s="85">
        <v>0</v>
      </c>
      <c r="T54" s="85">
        <f t="shared" si="0"/>
        <v>0</v>
      </c>
      <c r="U54" s="91"/>
      <c r="V54" s="89">
        <f t="shared" si="1"/>
        <v>0</v>
      </c>
      <c r="W54" s="89">
        <f t="shared" si="2"/>
        <v>0</v>
      </c>
      <c r="X54" s="89">
        <f t="shared" si="3"/>
        <v>0</v>
      </c>
      <c r="Y54" s="89">
        <f t="shared" si="12"/>
        <v>0</v>
      </c>
      <c r="Z54" s="89">
        <f t="shared" si="13"/>
        <v>0</v>
      </c>
      <c r="AA54" s="89">
        <f t="shared" si="4"/>
        <v>0</v>
      </c>
      <c r="AB54" s="89">
        <f t="shared" si="14"/>
        <v>0</v>
      </c>
      <c r="AC54" s="89">
        <f t="shared" si="5"/>
        <v>0</v>
      </c>
      <c r="AD54" s="89">
        <f t="shared" si="6"/>
        <v>0</v>
      </c>
      <c r="AE54" s="89">
        <f t="shared" si="7"/>
        <v>0</v>
      </c>
      <c r="AF54" s="89">
        <f t="shared" si="8"/>
        <v>0</v>
      </c>
      <c r="AG54" s="89">
        <f t="shared" si="9"/>
        <v>0</v>
      </c>
      <c r="AH54" s="89">
        <f t="shared" si="10"/>
        <v>0</v>
      </c>
      <c r="AI54" s="89">
        <v>0</v>
      </c>
      <c r="AJ54" s="89"/>
      <c r="AK54" s="89">
        <v>0</v>
      </c>
      <c r="AL54" s="155">
        <f t="shared" si="23"/>
        <v>0</v>
      </c>
      <c r="AM54" s="120"/>
      <c r="AN54" s="120"/>
      <c r="AO54" s="120"/>
      <c r="AP54" s="120"/>
      <c r="AQ54" s="120"/>
      <c r="AR54" s="120"/>
      <c r="AX54" s="38" t="s">
        <v>378</v>
      </c>
      <c r="AY54" s="38" t="s">
        <v>383</v>
      </c>
      <c r="AZ54" s="38" t="s">
        <v>382</v>
      </c>
    </row>
    <row r="55" spans="1:52" ht="23.25">
      <c r="A55" s="121"/>
      <c r="B55" s="303"/>
      <c r="C55" s="84">
        <v>17</v>
      </c>
      <c r="D55" s="85" t="s">
        <v>469</v>
      </c>
      <c r="E55" s="151" t="s">
        <v>52</v>
      </c>
      <c r="F55" s="85">
        <f>AP43</f>
        <v>2</v>
      </c>
      <c r="G55" s="85">
        <v>10</v>
      </c>
      <c r="H55" s="85">
        <v>0</v>
      </c>
      <c r="I55" s="85">
        <v>0</v>
      </c>
      <c r="J55" s="85">
        <v>5</v>
      </c>
      <c r="K55" s="85">
        <v>0</v>
      </c>
      <c r="L55" s="85">
        <v>0</v>
      </c>
      <c r="M55" s="85">
        <v>0</v>
      </c>
      <c r="N55" s="85">
        <v>0</v>
      </c>
      <c r="O55" s="85">
        <v>0</v>
      </c>
      <c r="P55" s="85">
        <v>0</v>
      </c>
      <c r="Q55" s="85">
        <v>0</v>
      </c>
      <c r="R55" s="85">
        <v>0</v>
      </c>
      <c r="S55" s="85">
        <v>0</v>
      </c>
      <c r="T55" s="85">
        <f>SUM(H55:S55)*F55</f>
        <v>10</v>
      </c>
      <c r="U55" s="91"/>
      <c r="V55" s="89">
        <f t="shared" si="1"/>
        <v>2.1752459858103061</v>
      </c>
      <c r="W55" s="89">
        <f t="shared" si="2"/>
        <v>0</v>
      </c>
      <c r="X55" s="89">
        <f t="shared" si="3"/>
        <v>0</v>
      </c>
      <c r="Y55" s="89">
        <f t="shared" si="12"/>
        <v>8.3687500000000021</v>
      </c>
      <c r="Z55" s="89">
        <f t="shared" si="13"/>
        <v>0</v>
      </c>
      <c r="AA55" s="89">
        <f t="shared" si="4"/>
        <v>0</v>
      </c>
      <c r="AB55" s="89">
        <f t="shared" si="14"/>
        <v>0</v>
      </c>
      <c r="AC55" s="89">
        <f t="shared" si="5"/>
        <v>0</v>
      </c>
      <c r="AD55" s="89">
        <f t="shared" si="6"/>
        <v>0</v>
      </c>
      <c r="AE55" s="89">
        <f t="shared" si="7"/>
        <v>0</v>
      </c>
      <c r="AF55" s="89">
        <f t="shared" si="8"/>
        <v>0</v>
      </c>
      <c r="AG55" s="89">
        <f t="shared" si="9"/>
        <v>0</v>
      </c>
      <c r="AH55" s="89">
        <f t="shared" si="10"/>
        <v>0</v>
      </c>
      <c r="AI55" s="89">
        <v>0</v>
      </c>
      <c r="AJ55" s="89"/>
      <c r="AK55" s="89">
        <f>inputs!$E$37*F55</f>
        <v>53.72</v>
      </c>
      <c r="AL55" s="155">
        <f t="shared" si="23"/>
        <v>64.263995985810311</v>
      </c>
      <c r="AM55" s="120"/>
      <c r="AN55" s="120"/>
      <c r="AO55" s="120"/>
      <c r="AP55" s="120"/>
      <c r="AQ55" s="120"/>
      <c r="AR55" s="120"/>
      <c r="AX55" s="44" t="s">
        <v>225</v>
      </c>
      <c r="AY55" s="73">
        <f>SUM(AI61:AI73)+SUM(AK61:AK73)</f>
        <v>223.57999999999998</v>
      </c>
      <c r="AZ55" s="73">
        <v>223.57999999999998</v>
      </c>
    </row>
    <row r="56" spans="1:52" ht="23.25">
      <c r="A56" s="121"/>
      <c r="B56" s="303"/>
      <c r="C56" s="84">
        <v>18</v>
      </c>
      <c r="D56" s="85" t="s">
        <v>484</v>
      </c>
      <c r="E56" s="151" t="s">
        <v>51</v>
      </c>
      <c r="F56" s="85">
        <v>0</v>
      </c>
      <c r="G56" s="85">
        <v>30</v>
      </c>
      <c r="H56" s="85">
        <v>0</v>
      </c>
      <c r="I56" s="85">
        <v>30</v>
      </c>
      <c r="J56" s="85">
        <v>10</v>
      </c>
      <c r="K56" s="85">
        <v>0</v>
      </c>
      <c r="L56" s="85">
        <v>0</v>
      </c>
      <c r="M56" s="85">
        <v>0</v>
      </c>
      <c r="N56" s="85">
        <v>0</v>
      </c>
      <c r="O56" s="85">
        <v>0</v>
      </c>
      <c r="P56" s="85">
        <v>0</v>
      </c>
      <c r="Q56" s="85">
        <v>0</v>
      </c>
      <c r="R56" s="85">
        <v>0</v>
      </c>
      <c r="S56" s="85">
        <v>0</v>
      </c>
      <c r="T56" s="85">
        <f t="shared" si="0"/>
        <v>0</v>
      </c>
      <c r="U56" s="91"/>
      <c r="V56" s="89">
        <f t="shared" si="1"/>
        <v>0</v>
      </c>
      <c r="W56" s="89">
        <f t="shared" si="2"/>
        <v>0</v>
      </c>
      <c r="X56" s="89">
        <f t="shared" si="3"/>
        <v>0</v>
      </c>
      <c r="Y56" s="89">
        <f t="shared" si="12"/>
        <v>0</v>
      </c>
      <c r="Z56" s="89">
        <f t="shared" si="13"/>
        <v>0</v>
      </c>
      <c r="AA56" s="89">
        <f t="shared" si="4"/>
        <v>0</v>
      </c>
      <c r="AB56" s="89">
        <f t="shared" si="14"/>
        <v>0</v>
      </c>
      <c r="AC56" s="89">
        <f t="shared" si="5"/>
        <v>0</v>
      </c>
      <c r="AD56" s="89">
        <f t="shared" si="6"/>
        <v>0</v>
      </c>
      <c r="AE56" s="89">
        <f t="shared" si="7"/>
        <v>0</v>
      </c>
      <c r="AF56" s="89">
        <f t="shared" si="8"/>
        <v>0</v>
      </c>
      <c r="AG56" s="89">
        <f t="shared" si="9"/>
        <v>0</v>
      </c>
      <c r="AH56" s="89">
        <f t="shared" si="10"/>
        <v>0</v>
      </c>
      <c r="AI56" s="89">
        <v>0</v>
      </c>
      <c r="AJ56" s="89"/>
      <c r="AK56" s="89">
        <v>0</v>
      </c>
      <c r="AL56" s="155">
        <f t="shared" si="23"/>
        <v>0</v>
      </c>
      <c r="AM56" s="120"/>
      <c r="AN56" s="120"/>
      <c r="AO56" s="120"/>
      <c r="AP56" s="120"/>
      <c r="AQ56" s="120"/>
      <c r="AR56" s="120"/>
      <c r="AX56" s="44" t="s">
        <v>226</v>
      </c>
      <c r="AY56" s="73">
        <f>SUM(AJ61:AJ73)</f>
        <v>0</v>
      </c>
      <c r="AZ56" s="73">
        <v>0</v>
      </c>
    </row>
    <row r="57" spans="1:52" ht="40.5">
      <c r="A57" s="121"/>
      <c r="B57" s="303"/>
      <c r="C57" s="84">
        <v>19</v>
      </c>
      <c r="D57" s="85" t="s">
        <v>485</v>
      </c>
      <c r="E57" s="151" t="s">
        <v>152</v>
      </c>
      <c r="F57" s="85">
        <v>1</v>
      </c>
      <c r="G57" s="85">
        <v>30</v>
      </c>
      <c r="H57" s="85">
        <v>0</v>
      </c>
      <c r="I57" s="85">
        <v>30</v>
      </c>
      <c r="J57" s="85">
        <v>30</v>
      </c>
      <c r="K57" s="85">
        <v>0</v>
      </c>
      <c r="L57" s="85">
        <v>0</v>
      </c>
      <c r="M57" s="85">
        <v>0</v>
      </c>
      <c r="N57" s="85">
        <v>0</v>
      </c>
      <c r="O57" s="85">
        <v>0</v>
      </c>
      <c r="P57" s="85">
        <v>0</v>
      </c>
      <c r="Q57" s="85">
        <v>0</v>
      </c>
      <c r="R57" s="85">
        <v>0</v>
      </c>
      <c r="S57" s="85">
        <v>0</v>
      </c>
      <c r="T57" s="85">
        <f t="shared" si="0"/>
        <v>60</v>
      </c>
      <c r="U57" s="91"/>
      <c r="V57" s="89">
        <f t="shared" si="1"/>
        <v>6.5257379574309189</v>
      </c>
      <c r="W57" s="89">
        <f t="shared" si="2"/>
        <v>0</v>
      </c>
      <c r="X57" s="89">
        <f t="shared" si="3"/>
        <v>32.299999999999997</v>
      </c>
      <c r="Y57" s="89">
        <f t="shared" si="12"/>
        <v>25.106250000000003</v>
      </c>
      <c r="Z57" s="89">
        <f>IF(ISNUMBER(SEARCH("CCR4", E57)),(T57-K57)*$Z$3, 0)</f>
        <v>12.417364278744502</v>
      </c>
      <c r="AA57" s="89">
        <f t="shared" si="4"/>
        <v>0</v>
      </c>
      <c r="AB57" s="89">
        <f t="shared" si="14"/>
        <v>0</v>
      </c>
      <c r="AC57" s="89">
        <f t="shared" si="5"/>
        <v>0</v>
      </c>
      <c r="AD57" s="89">
        <f t="shared" si="6"/>
        <v>0</v>
      </c>
      <c r="AE57" s="89">
        <f t="shared" si="7"/>
        <v>0</v>
      </c>
      <c r="AF57" s="89">
        <f t="shared" si="8"/>
        <v>0</v>
      </c>
      <c r="AG57" s="89">
        <f t="shared" si="9"/>
        <v>0</v>
      </c>
      <c r="AH57" s="89">
        <f t="shared" si="10"/>
        <v>0</v>
      </c>
      <c r="AI57" s="89">
        <v>0</v>
      </c>
      <c r="AJ57" s="89"/>
      <c r="AK57" s="89">
        <f>inputs!$E$40*F57</f>
        <v>31.48</v>
      </c>
      <c r="AL57" s="155">
        <f t="shared" si="23"/>
        <v>107.82935223617542</v>
      </c>
      <c r="AM57" s="120"/>
      <c r="AN57" s="120"/>
      <c r="AO57" s="120"/>
      <c r="AP57" s="120"/>
      <c r="AQ57" s="120"/>
      <c r="AR57" s="120"/>
      <c r="AX57" s="44" t="s">
        <v>205</v>
      </c>
      <c r="AY57" s="73">
        <f>SUM(V61:V73)</f>
        <v>32.422041418502616</v>
      </c>
      <c r="AZ57" s="73">
        <v>33.140476828816077</v>
      </c>
    </row>
    <row r="58" spans="1:52" ht="24" thickBot="1">
      <c r="A58" s="121"/>
      <c r="B58" s="303"/>
      <c r="C58" s="84">
        <v>20</v>
      </c>
      <c r="D58" s="85" t="s">
        <v>471</v>
      </c>
      <c r="E58" s="151" t="s">
        <v>152</v>
      </c>
      <c r="F58" s="85">
        <v>1</v>
      </c>
      <c r="G58" s="85">
        <v>30</v>
      </c>
      <c r="H58" s="85">
        <v>30</v>
      </c>
      <c r="I58" s="85">
        <v>0</v>
      </c>
      <c r="J58" s="85">
        <v>0</v>
      </c>
      <c r="K58" s="85">
        <v>0</v>
      </c>
      <c r="L58" s="85">
        <v>0</v>
      </c>
      <c r="M58" s="85">
        <v>0</v>
      </c>
      <c r="N58" s="85">
        <v>0</v>
      </c>
      <c r="O58" s="85">
        <v>0</v>
      </c>
      <c r="P58" s="85">
        <v>0</v>
      </c>
      <c r="Q58" s="85">
        <v>0</v>
      </c>
      <c r="R58" s="85">
        <v>0</v>
      </c>
      <c r="S58" s="85">
        <v>0</v>
      </c>
      <c r="T58" s="85">
        <f t="shared" si="0"/>
        <v>30</v>
      </c>
      <c r="U58" s="91"/>
      <c r="V58" s="89">
        <f t="shared" si="1"/>
        <v>3.2628689787154594</v>
      </c>
      <c r="W58" s="89">
        <f t="shared" si="2"/>
        <v>57.543749999999996</v>
      </c>
      <c r="X58" s="89">
        <f t="shared" si="3"/>
        <v>0</v>
      </c>
      <c r="Y58" s="89">
        <f t="shared" si="12"/>
        <v>0</v>
      </c>
      <c r="Z58" s="89">
        <f>IF(ISNUMBER(SEARCH("CCR4", E58)),(T58-K58)*$Z$3, 0)</f>
        <v>6.2086821393722511</v>
      </c>
      <c r="AA58" s="89">
        <f t="shared" si="4"/>
        <v>0</v>
      </c>
      <c r="AB58" s="89">
        <f t="shared" si="14"/>
        <v>0</v>
      </c>
      <c r="AC58" s="89">
        <f t="shared" si="5"/>
        <v>0</v>
      </c>
      <c r="AD58" s="89">
        <f t="shared" si="6"/>
        <v>0</v>
      </c>
      <c r="AE58" s="89">
        <f t="shared" si="7"/>
        <v>0</v>
      </c>
      <c r="AF58" s="89">
        <f t="shared" si="8"/>
        <v>0</v>
      </c>
      <c r="AG58" s="89">
        <f t="shared" si="9"/>
        <v>0</v>
      </c>
      <c r="AH58" s="89">
        <f t="shared" si="10"/>
        <v>0</v>
      </c>
      <c r="AI58" s="89">
        <v>0</v>
      </c>
      <c r="AJ58" s="89"/>
      <c r="AK58" s="89">
        <v>0</v>
      </c>
      <c r="AL58" s="156">
        <f t="shared" si="23"/>
        <v>67.015301118087706</v>
      </c>
      <c r="AM58" s="163">
        <f>SUM(AL38:AL58)</f>
        <v>929.60630286131641</v>
      </c>
      <c r="AN58" s="158"/>
      <c r="AO58" s="120"/>
      <c r="AP58" s="120"/>
      <c r="AQ58" s="120"/>
      <c r="AR58" s="120"/>
      <c r="AT58" s="172" t="s">
        <v>194</v>
      </c>
      <c r="AU58" s="173" t="s">
        <v>362</v>
      </c>
      <c r="AX58" s="44" t="s">
        <v>206</v>
      </c>
      <c r="AY58" s="73">
        <f>SUM(W61:W73)</f>
        <v>153.44999999999999</v>
      </c>
      <c r="AZ58" s="73">
        <v>153.44999999999999</v>
      </c>
    </row>
    <row r="59" spans="1:52" ht="21.75" thickTop="1" thickBot="1">
      <c r="A59" s="120"/>
      <c r="B59" s="304"/>
      <c r="C59" s="13"/>
      <c r="D59" s="118"/>
      <c r="E59" s="252" t="s">
        <v>552</v>
      </c>
      <c r="F59" s="87"/>
      <c r="G59" s="253">
        <f>($F47*G47)+($F48*G48)+($F49*G49)+($F50*G50)+($F51*G51)+($F52*G52)+($F53*G53)+($F54*G54)+($F55*G55)+($F56*G56)+($F57*G57)+($F58*G58)+($F46*G46)+($F45*G45)+($F44*G44)+($F43*G43)+($F42*G42)+($F41*G41)+($F40*G40)+($F39*G39)+($F38*G38)</f>
        <v>335</v>
      </c>
      <c r="H59" s="253">
        <f>($F47*H47)+($F48*H48)+($F49*H49)+($F50*H50)+($F51*H51)+($F52*H52)+($F53*H53)+($F54*H54)+($F55*H55)+($F56*H56)+($F57*H57)+($F58*H58)+($F46*H46)+($F45*H45)+($F44*H44)+($F43*H43)+($F42*H42)+($F41*H41)+($F40*H40)+($F39*H39)+($F38*H38)</f>
        <v>30</v>
      </c>
      <c r="I59" s="253">
        <f t="shared" ref="I59:S59" si="25">($F47*I47)+($F48*I48)+($F49*I49)+($F50*I50)+($F51*I51)+($F52*I52)+($F53*I53)+($F54*I54)+($F55*I55)+($F56*I56)+($F57*I57)+($F58*I58)+($F46*I46)+($F45*I45)+($F44*I44)+($F43*I43)+($F42*I42)+($F41*I41)+($F40*I40)+($F39*I39)+($F38*I38)</f>
        <v>240</v>
      </c>
      <c r="J59" s="253">
        <f t="shared" si="25"/>
        <v>235</v>
      </c>
      <c r="K59" s="253">
        <f t="shared" si="25"/>
        <v>0</v>
      </c>
      <c r="L59" s="253">
        <f t="shared" si="25"/>
        <v>0</v>
      </c>
      <c r="M59" s="253">
        <f t="shared" si="25"/>
        <v>0</v>
      </c>
      <c r="N59" s="253">
        <f t="shared" si="25"/>
        <v>0</v>
      </c>
      <c r="O59" s="253">
        <f t="shared" si="25"/>
        <v>0</v>
      </c>
      <c r="P59" s="253">
        <f t="shared" si="25"/>
        <v>0</v>
      </c>
      <c r="Q59" s="253">
        <f t="shared" si="25"/>
        <v>0</v>
      </c>
      <c r="R59" s="253">
        <f t="shared" si="25"/>
        <v>0</v>
      </c>
      <c r="S59" s="253">
        <f t="shared" si="25"/>
        <v>0</v>
      </c>
      <c r="T59" s="253">
        <f>SUM(T38:T58)</f>
        <v>505</v>
      </c>
      <c r="U59" s="119"/>
      <c r="V59" s="253">
        <f t="shared" ref="V59:AK59" si="26">SUM(V38:V58)</f>
        <v>69.06406004947722</v>
      </c>
      <c r="W59" s="253">
        <f t="shared" si="26"/>
        <v>57.543749999999996</v>
      </c>
      <c r="X59" s="253">
        <f t="shared" si="26"/>
        <v>258.39999999999998</v>
      </c>
      <c r="Y59" s="253">
        <f t="shared" si="26"/>
        <v>196.66562500000003</v>
      </c>
      <c r="Z59" s="253">
        <f t="shared" si="26"/>
        <v>80.712867811839274</v>
      </c>
      <c r="AA59" s="253">
        <f t="shared" si="26"/>
        <v>0</v>
      </c>
      <c r="AB59" s="253">
        <f t="shared" si="26"/>
        <v>0</v>
      </c>
      <c r="AC59" s="253">
        <f t="shared" si="26"/>
        <v>0</v>
      </c>
      <c r="AD59" s="253">
        <f t="shared" si="26"/>
        <v>0</v>
      </c>
      <c r="AE59" s="253">
        <f t="shared" si="26"/>
        <v>0</v>
      </c>
      <c r="AF59" s="253">
        <f t="shared" si="26"/>
        <v>0</v>
      </c>
      <c r="AG59" s="253">
        <f t="shared" si="26"/>
        <v>0</v>
      </c>
      <c r="AH59" s="253">
        <f t="shared" si="26"/>
        <v>0</v>
      </c>
      <c r="AI59" s="253">
        <f t="shared" si="26"/>
        <v>0</v>
      </c>
      <c r="AJ59" s="253">
        <f t="shared" si="26"/>
        <v>182.02</v>
      </c>
      <c r="AK59" s="253">
        <f t="shared" si="26"/>
        <v>85.2</v>
      </c>
      <c r="AL59" s="149">
        <f>SUM(AL38:AL57)</f>
        <v>862.59100174322873</v>
      </c>
      <c r="AM59" s="158"/>
      <c r="AN59" s="158"/>
      <c r="AO59" s="120"/>
      <c r="AP59" s="120"/>
      <c r="AQ59" s="120"/>
      <c r="AR59" s="120"/>
      <c r="AT59" s="172"/>
      <c r="AU59" s="173"/>
      <c r="AX59" s="44"/>
      <c r="AY59" s="73"/>
      <c r="AZ59" s="73"/>
    </row>
    <row r="60" spans="1:52" ht="21" thickBot="1">
      <c r="A60" s="120"/>
      <c r="B60" s="120"/>
      <c r="C60" s="167"/>
      <c r="D60" s="120"/>
      <c r="E60" s="120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69"/>
      <c r="V60" s="170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71"/>
      <c r="AJ60" s="120"/>
      <c r="AK60" s="120"/>
      <c r="AL60" s="170"/>
      <c r="AM60" s="158"/>
      <c r="AN60" s="158"/>
      <c r="AO60" s="242"/>
      <c r="AP60" s="242"/>
      <c r="AQ60" s="242"/>
      <c r="AR60" s="120"/>
      <c r="AT60" s="129"/>
      <c r="AU60" s="130"/>
      <c r="AX60" s="44"/>
      <c r="AY60" s="73"/>
      <c r="AZ60" s="73"/>
    </row>
    <row r="61" spans="1:52" ht="23.25">
      <c r="A61" s="121"/>
      <c r="B61" s="302" t="s">
        <v>231</v>
      </c>
      <c r="C61" s="83">
        <v>1</v>
      </c>
      <c r="D61" s="83" t="s">
        <v>486</v>
      </c>
      <c r="E61" s="150" t="s">
        <v>131</v>
      </c>
      <c r="F61" s="83">
        <f>IF($AP$62="internal", 0, 1)</f>
        <v>1</v>
      </c>
      <c r="G61" s="83">
        <v>30</v>
      </c>
      <c r="H61" s="83">
        <v>40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3">
        <v>0</v>
      </c>
      <c r="Q61" s="83">
        <v>0</v>
      </c>
      <c r="R61" s="83">
        <v>0</v>
      </c>
      <c r="S61" s="83">
        <v>0</v>
      </c>
      <c r="T61" s="83">
        <f>SUM(H61:S61)*F61</f>
        <v>40</v>
      </c>
      <c r="U61" s="88"/>
      <c r="V61" s="88">
        <f t="shared" si="1"/>
        <v>4.3504919716206123</v>
      </c>
      <c r="W61" s="88">
        <f>H61*$W$3*F61</f>
        <v>76.724999999999994</v>
      </c>
      <c r="X61" s="88">
        <f t="shared" si="3"/>
        <v>0</v>
      </c>
      <c r="Y61" s="88">
        <f t="shared" si="12"/>
        <v>0</v>
      </c>
      <c r="Z61" s="88">
        <f t="shared" si="13"/>
        <v>8.2782428524963354</v>
      </c>
      <c r="AA61" s="88">
        <f t="shared" si="4"/>
        <v>0</v>
      </c>
      <c r="AB61" s="88">
        <f t="shared" si="14"/>
        <v>0</v>
      </c>
      <c r="AC61" s="88">
        <f t="shared" si="5"/>
        <v>0</v>
      </c>
      <c r="AD61" s="88">
        <f t="shared" si="6"/>
        <v>0</v>
      </c>
      <c r="AE61" s="88">
        <f t="shared" si="7"/>
        <v>0</v>
      </c>
      <c r="AF61" s="88">
        <f t="shared" si="8"/>
        <v>0</v>
      </c>
      <c r="AG61" s="88">
        <f t="shared" si="9"/>
        <v>0</v>
      </c>
      <c r="AH61" s="88">
        <f t="shared" si="10"/>
        <v>0</v>
      </c>
      <c r="AI61" s="88">
        <v>0</v>
      </c>
      <c r="AJ61" s="88"/>
      <c r="AK61" s="88">
        <v>0</v>
      </c>
      <c r="AL61" s="174">
        <f t="shared" ref="AL61:AL73" si="27">SUM(V61:AK61)</f>
        <v>89.353734824116941</v>
      </c>
      <c r="AM61" s="120"/>
      <c r="AN61" s="120"/>
      <c r="AO61" s="240" t="s">
        <v>451</v>
      </c>
      <c r="AP61" s="240" t="s">
        <v>49</v>
      </c>
      <c r="AQ61" s="240" t="s">
        <v>452</v>
      </c>
      <c r="AR61" s="120"/>
      <c r="AT61" s="40" t="s">
        <v>278</v>
      </c>
      <c r="AU61" s="293" t="s">
        <v>364</v>
      </c>
      <c r="AX61" s="44" t="s">
        <v>279</v>
      </c>
      <c r="AY61" s="73">
        <f>SUM(X61:X73)</f>
        <v>0</v>
      </c>
      <c r="AZ61" s="73">
        <v>0</v>
      </c>
    </row>
    <row r="62" spans="1:52" ht="21" customHeight="1" thickBot="1">
      <c r="A62" s="121"/>
      <c r="B62" s="303"/>
      <c r="C62" s="85">
        <v>2</v>
      </c>
      <c r="D62" s="85" t="s">
        <v>487</v>
      </c>
      <c r="E62" s="151" t="s">
        <v>52</v>
      </c>
      <c r="F62" s="85">
        <f t="shared" ref="F62:F63" si="28">IF($AP$62="internal", 0, 1)</f>
        <v>1</v>
      </c>
      <c r="G62" s="85">
        <v>30</v>
      </c>
      <c r="H62" s="85">
        <v>0</v>
      </c>
      <c r="I62" s="85">
        <v>0</v>
      </c>
      <c r="J62" s="85">
        <v>40</v>
      </c>
      <c r="K62" s="85">
        <v>0</v>
      </c>
      <c r="L62" s="85">
        <v>0</v>
      </c>
      <c r="M62" s="85">
        <v>0</v>
      </c>
      <c r="N62" s="85">
        <v>0</v>
      </c>
      <c r="O62" s="85">
        <v>0</v>
      </c>
      <c r="P62" s="85">
        <v>0</v>
      </c>
      <c r="Q62" s="85">
        <v>0</v>
      </c>
      <c r="R62" s="85">
        <v>0</v>
      </c>
      <c r="S62" s="85">
        <v>0</v>
      </c>
      <c r="T62" s="85">
        <f>SUM(H62:S62)*F62</f>
        <v>40</v>
      </c>
      <c r="U62" s="89"/>
      <c r="V62" s="89">
        <f t="shared" si="1"/>
        <v>4.3504919716206123</v>
      </c>
      <c r="W62" s="89">
        <f t="shared" si="2"/>
        <v>0</v>
      </c>
      <c r="X62" s="89">
        <f t="shared" si="3"/>
        <v>0</v>
      </c>
      <c r="Y62" s="89">
        <f t="shared" si="12"/>
        <v>33.475000000000009</v>
      </c>
      <c r="Z62" s="89">
        <f t="shared" si="13"/>
        <v>0</v>
      </c>
      <c r="AA62" s="89">
        <f t="shared" si="4"/>
        <v>0</v>
      </c>
      <c r="AB62" s="89">
        <f t="shared" si="14"/>
        <v>0</v>
      </c>
      <c r="AC62" s="89">
        <f t="shared" si="5"/>
        <v>0</v>
      </c>
      <c r="AD62" s="89">
        <f t="shared" si="6"/>
        <v>0</v>
      </c>
      <c r="AE62" s="89">
        <f t="shared" si="7"/>
        <v>0</v>
      </c>
      <c r="AF62" s="89">
        <f t="shared" si="8"/>
        <v>0</v>
      </c>
      <c r="AG62" s="89">
        <f t="shared" si="9"/>
        <v>0</v>
      </c>
      <c r="AH62" s="89">
        <f t="shared" si="10"/>
        <v>0</v>
      </c>
      <c r="AI62" s="89">
        <v>0</v>
      </c>
      <c r="AJ62" s="89"/>
      <c r="AK62" s="89">
        <v>0</v>
      </c>
      <c r="AL62" s="154">
        <f t="shared" si="27"/>
        <v>37.825491971620622</v>
      </c>
      <c r="AM62" s="120"/>
      <c r="AN62" s="301"/>
      <c r="AO62" s="202" t="s">
        <v>88</v>
      </c>
      <c r="AP62" s="139" t="s">
        <v>61</v>
      </c>
      <c r="AQ62" s="141" t="s">
        <v>89</v>
      </c>
      <c r="AR62" s="120"/>
      <c r="AT62" s="41"/>
      <c r="AU62" s="294"/>
      <c r="AX62" s="44" t="s">
        <v>122</v>
      </c>
      <c r="AY62" s="73">
        <f>SUM(Y61:Y73)</f>
        <v>50.212500000000013</v>
      </c>
      <c r="AZ62" s="73">
        <v>50.212500000000013</v>
      </c>
    </row>
    <row r="63" spans="1:52" ht="24" thickBot="1">
      <c r="A63" s="121"/>
      <c r="B63" s="303"/>
      <c r="C63" s="85">
        <v>3</v>
      </c>
      <c r="D63" s="85" t="s">
        <v>488</v>
      </c>
      <c r="E63" s="151" t="s">
        <v>51</v>
      </c>
      <c r="F63" s="85">
        <f t="shared" si="28"/>
        <v>1</v>
      </c>
      <c r="G63" s="85">
        <v>30</v>
      </c>
      <c r="H63" s="85">
        <v>0</v>
      </c>
      <c r="I63" s="85">
        <v>0</v>
      </c>
      <c r="J63" s="85">
        <v>20</v>
      </c>
      <c r="K63" s="85">
        <v>0</v>
      </c>
      <c r="L63" s="85">
        <v>0</v>
      </c>
      <c r="M63" s="85">
        <v>0</v>
      </c>
      <c r="N63" s="85">
        <v>0</v>
      </c>
      <c r="O63" s="85">
        <v>0</v>
      </c>
      <c r="P63" s="85">
        <v>0</v>
      </c>
      <c r="Q63" s="85">
        <v>0</v>
      </c>
      <c r="R63" s="85">
        <v>0</v>
      </c>
      <c r="S63" s="85">
        <v>0</v>
      </c>
      <c r="T63" s="85">
        <f t="shared" si="0"/>
        <v>20</v>
      </c>
      <c r="U63" s="89"/>
      <c r="V63" s="89">
        <f t="shared" si="1"/>
        <v>2.1752459858103061</v>
      </c>
      <c r="W63" s="89">
        <f t="shared" si="2"/>
        <v>0</v>
      </c>
      <c r="X63" s="89">
        <f t="shared" si="3"/>
        <v>0</v>
      </c>
      <c r="Y63" s="89">
        <f t="shared" si="12"/>
        <v>16.737500000000004</v>
      </c>
      <c r="Z63" s="89">
        <f t="shared" si="13"/>
        <v>0</v>
      </c>
      <c r="AA63" s="89">
        <f t="shared" si="4"/>
        <v>0</v>
      </c>
      <c r="AB63" s="89">
        <f t="shared" si="14"/>
        <v>0</v>
      </c>
      <c r="AC63" s="89">
        <f t="shared" si="5"/>
        <v>0</v>
      </c>
      <c r="AD63" s="89">
        <f t="shared" si="6"/>
        <v>0</v>
      </c>
      <c r="AE63" s="89">
        <f t="shared" si="7"/>
        <v>0</v>
      </c>
      <c r="AF63" s="89">
        <f t="shared" si="8"/>
        <v>0</v>
      </c>
      <c r="AG63" s="89">
        <f t="shared" si="9"/>
        <v>0</v>
      </c>
      <c r="AH63" s="89">
        <f t="shared" si="10"/>
        <v>0</v>
      </c>
      <c r="AI63" s="89">
        <v>0</v>
      </c>
      <c r="AJ63" s="89"/>
      <c r="AK63" s="89">
        <f>inputs!E38*F63</f>
        <v>110.64</v>
      </c>
      <c r="AL63" s="154">
        <f t="shared" si="27"/>
        <v>129.5527459858103</v>
      </c>
      <c r="AM63" s="120"/>
      <c r="AN63" s="301"/>
      <c r="AO63" s="192" t="s">
        <v>47</v>
      </c>
      <c r="AP63" s="140" t="s">
        <v>18</v>
      </c>
      <c r="AQ63" s="142" t="s">
        <v>45</v>
      </c>
      <c r="AR63" s="120"/>
      <c r="AT63" s="42" t="s">
        <v>199</v>
      </c>
      <c r="AU63" s="43"/>
      <c r="AX63" s="44" t="s">
        <v>207</v>
      </c>
      <c r="AY63" s="73">
        <f>SUM(Z61:Z73)</f>
        <v>20.695607131240838</v>
      </c>
      <c r="AZ63" s="73">
        <v>20.695607131240838</v>
      </c>
    </row>
    <row r="64" spans="1:52" ht="23.25">
      <c r="A64" s="121"/>
      <c r="B64" s="303"/>
      <c r="C64" s="85">
        <v>4</v>
      </c>
      <c r="D64" s="85" t="s">
        <v>493</v>
      </c>
      <c r="E64" s="151" t="s">
        <v>185</v>
      </c>
      <c r="F64" s="85">
        <f>AP65</f>
        <v>1</v>
      </c>
      <c r="G64" s="85">
        <v>30</v>
      </c>
      <c r="H64" s="85">
        <v>0</v>
      </c>
      <c r="I64" s="85">
        <v>0</v>
      </c>
      <c r="J64" s="85">
        <v>0</v>
      </c>
      <c r="K64" s="85">
        <v>0</v>
      </c>
      <c r="L64" s="85">
        <v>0</v>
      </c>
      <c r="M64" s="85">
        <v>30</v>
      </c>
      <c r="N64" s="85">
        <v>30</v>
      </c>
      <c r="O64" s="85">
        <v>0</v>
      </c>
      <c r="P64" s="85">
        <v>0</v>
      </c>
      <c r="Q64" s="85">
        <v>0</v>
      </c>
      <c r="R64" s="85">
        <v>0</v>
      </c>
      <c r="S64" s="85">
        <v>0</v>
      </c>
      <c r="T64" s="85">
        <f t="shared" si="0"/>
        <v>60</v>
      </c>
      <c r="U64" s="89"/>
      <c r="V64" s="89">
        <f t="shared" si="1"/>
        <v>6.5257379574309189</v>
      </c>
      <c r="W64" s="89">
        <f t="shared" si="2"/>
        <v>0</v>
      </c>
      <c r="X64" s="89">
        <f t="shared" si="3"/>
        <v>0</v>
      </c>
      <c r="Y64" s="89">
        <f t="shared" si="12"/>
        <v>0</v>
      </c>
      <c r="Z64" s="89">
        <f t="shared" si="13"/>
        <v>0</v>
      </c>
      <c r="AA64" s="89">
        <f t="shared" si="4"/>
        <v>0</v>
      </c>
      <c r="AB64" s="89">
        <f t="shared" si="14"/>
        <v>0</v>
      </c>
      <c r="AC64" s="89">
        <f t="shared" si="5"/>
        <v>0</v>
      </c>
      <c r="AD64" s="89">
        <f t="shared" si="6"/>
        <v>0</v>
      </c>
      <c r="AE64" s="89">
        <f t="shared" si="7"/>
        <v>0</v>
      </c>
      <c r="AF64" s="89">
        <f t="shared" si="8"/>
        <v>0</v>
      </c>
      <c r="AG64" s="89">
        <f t="shared" si="9"/>
        <v>125.32916666666667</v>
      </c>
      <c r="AH64" s="89">
        <f t="shared" si="10"/>
        <v>0</v>
      </c>
      <c r="AI64" s="89">
        <v>0</v>
      </c>
      <c r="AJ64" s="89"/>
      <c r="AK64" s="89">
        <f>inputs!E55*F64</f>
        <v>40.99</v>
      </c>
      <c r="AL64" s="154">
        <f t="shared" si="27"/>
        <v>172.84490462409758</v>
      </c>
      <c r="AM64" s="120"/>
      <c r="AN64" s="301"/>
      <c r="AO64" s="192" t="s">
        <v>46</v>
      </c>
      <c r="AP64" s="140" t="s">
        <v>18</v>
      </c>
      <c r="AQ64" s="142" t="s">
        <v>45</v>
      </c>
      <c r="AR64" s="120"/>
      <c r="AT64" s="44" t="s">
        <v>222</v>
      </c>
      <c r="AU64" s="45">
        <f>SUM(AL61:AL73)</f>
        <v>878.21134633462145</v>
      </c>
      <c r="AX64" s="44" t="s">
        <v>123</v>
      </c>
      <c r="AY64" s="73">
        <f>SUM(AA61:AA73)</f>
        <v>100</v>
      </c>
      <c r="AZ64" s="73">
        <v>100</v>
      </c>
    </row>
    <row r="65" spans="1:52" ht="23.25">
      <c r="A65" s="121"/>
      <c r="B65" s="303"/>
      <c r="C65" s="85">
        <v>5</v>
      </c>
      <c r="D65" s="85" t="s">
        <v>489</v>
      </c>
      <c r="E65" s="151"/>
      <c r="F65" s="85">
        <v>1</v>
      </c>
      <c r="G65" s="85">
        <v>5</v>
      </c>
      <c r="H65" s="85">
        <v>0</v>
      </c>
      <c r="I65" s="85">
        <v>0</v>
      </c>
      <c r="J65" s="85">
        <v>0</v>
      </c>
      <c r="K65" s="85">
        <v>0</v>
      </c>
      <c r="L65" s="85">
        <v>0</v>
      </c>
      <c r="M65" s="85">
        <v>0</v>
      </c>
      <c r="N65" s="85">
        <v>0</v>
      </c>
      <c r="O65" s="85">
        <v>0</v>
      </c>
      <c r="P65" s="85">
        <v>0</v>
      </c>
      <c r="Q65" s="85">
        <v>0</v>
      </c>
      <c r="R65" s="85">
        <v>0</v>
      </c>
      <c r="S65" s="85">
        <v>0</v>
      </c>
      <c r="T65" s="85">
        <f t="shared" si="0"/>
        <v>0</v>
      </c>
      <c r="U65" s="89"/>
      <c r="V65" s="89">
        <f t="shared" si="1"/>
        <v>0</v>
      </c>
      <c r="W65" s="89">
        <f t="shared" si="2"/>
        <v>0</v>
      </c>
      <c r="X65" s="89">
        <f t="shared" si="3"/>
        <v>0</v>
      </c>
      <c r="Y65" s="89">
        <f t="shared" si="12"/>
        <v>0</v>
      </c>
      <c r="Z65" s="89">
        <f t="shared" si="13"/>
        <v>0</v>
      </c>
      <c r="AA65" s="89">
        <f t="shared" si="4"/>
        <v>0</v>
      </c>
      <c r="AB65" s="89">
        <f t="shared" si="14"/>
        <v>0</v>
      </c>
      <c r="AC65" s="89">
        <f t="shared" si="5"/>
        <v>0</v>
      </c>
      <c r="AD65" s="89">
        <f t="shared" si="6"/>
        <v>0</v>
      </c>
      <c r="AE65" s="89">
        <f t="shared" si="7"/>
        <v>0</v>
      </c>
      <c r="AF65" s="89">
        <f t="shared" si="8"/>
        <v>0</v>
      </c>
      <c r="AG65" s="89">
        <f t="shared" si="9"/>
        <v>0</v>
      </c>
      <c r="AH65" s="89">
        <f t="shared" si="10"/>
        <v>0</v>
      </c>
      <c r="AI65" s="89">
        <v>0</v>
      </c>
      <c r="AJ65" s="89"/>
      <c r="AK65" s="89">
        <f>inputs!E39</f>
        <v>71.95</v>
      </c>
      <c r="AL65" s="154">
        <f t="shared" si="27"/>
        <v>71.95</v>
      </c>
      <c r="AM65" s="120"/>
      <c r="AN65" s="301"/>
      <c r="AO65" s="192" t="s">
        <v>84</v>
      </c>
      <c r="AP65" s="140">
        <v>1</v>
      </c>
      <c r="AQ65" s="142" t="s">
        <v>166</v>
      </c>
      <c r="AR65" s="120"/>
      <c r="AT65" s="44" t="s">
        <v>200</v>
      </c>
      <c r="AU65" s="45"/>
      <c r="AX65" s="44" t="s">
        <v>208</v>
      </c>
      <c r="AY65" s="73">
        <f>SUM(AB61:AB73)</f>
        <v>142.12885491071427</v>
      </c>
      <c r="AZ65" s="73">
        <v>155.91505237268518</v>
      </c>
    </row>
    <row r="66" spans="1:52" ht="23.25">
      <c r="A66" s="121"/>
      <c r="B66" s="303"/>
      <c r="C66" s="85" t="s">
        <v>108</v>
      </c>
      <c r="D66" s="85" t="s">
        <v>490</v>
      </c>
      <c r="E66" s="151" t="s">
        <v>147</v>
      </c>
      <c r="F66" s="85">
        <f>IF($AP$63="no", 0, 1)</f>
        <v>0</v>
      </c>
      <c r="G66" s="85">
        <v>30</v>
      </c>
      <c r="H66" s="85">
        <v>60</v>
      </c>
      <c r="I66" s="85">
        <v>0</v>
      </c>
      <c r="J66" s="85">
        <v>40</v>
      </c>
      <c r="K66" s="85">
        <v>0</v>
      </c>
      <c r="L66" s="85">
        <v>0</v>
      </c>
      <c r="M66" s="85">
        <v>40</v>
      </c>
      <c r="N66" s="85">
        <v>40</v>
      </c>
      <c r="O66" s="85">
        <v>0</v>
      </c>
      <c r="P66" s="85">
        <v>0</v>
      </c>
      <c r="Q66" s="85">
        <v>0</v>
      </c>
      <c r="R66" s="85">
        <v>0</v>
      </c>
      <c r="S66" s="85">
        <v>0</v>
      </c>
      <c r="T66" s="85">
        <f t="shared" si="0"/>
        <v>0</v>
      </c>
      <c r="U66" s="89"/>
      <c r="V66" s="89">
        <f t="shared" si="1"/>
        <v>0</v>
      </c>
      <c r="W66" s="89">
        <f t="shared" si="2"/>
        <v>0</v>
      </c>
      <c r="X66" s="89">
        <f t="shared" si="3"/>
        <v>0</v>
      </c>
      <c r="Y66" s="89">
        <f t="shared" si="12"/>
        <v>0</v>
      </c>
      <c r="Z66" s="89">
        <f t="shared" si="13"/>
        <v>0</v>
      </c>
      <c r="AA66" s="89">
        <f t="shared" si="4"/>
        <v>0</v>
      </c>
      <c r="AB66" s="89">
        <f t="shared" si="14"/>
        <v>0</v>
      </c>
      <c r="AC66" s="89">
        <f t="shared" si="5"/>
        <v>0</v>
      </c>
      <c r="AD66" s="89">
        <f t="shared" si="6"/>
        <v>0</v>
      </c>
      <c r="AE66" s="89">
        <f t="shared" si="7"/>
        <v>0</v>
      </c>
      <c r="AF66" s="89">
        <f t="shared" si="8"/>
        <v>0</v>
      </c>
      <c r="AG66" s="89">
        <f t="shared" si="9"/>
        <v>0</v>
      </c>
      <c r="AH66" s="89">
        <f t="shared" si="10"/>
        <v>0</v>
      </c>
      <c r="AI66" s="89">
        <v>0</v>
      </c>
      <c r="AJ66" s="89"/>
      <c r="AK66" s="89">
        <v>0</v>
      </c>
      <c r="AL66" s="154">
        <f t="shared" si="27"/>
        <v>0</v>
      </c>
      <c r="AM66" s="120"/>
      <c r="AN66" s="301"/>
      <c r="AO66" s="192" t="s">
        <v>456</v>
      </c>
      <c r="AP66" s="140">
        <v>2</v>
      </c>
      <c r="AQ66" s="142" t="s">
        <v>171</v>
      </c>
      <c r="AR66" s="120"/>
      <c r="AT66" s="44" t="s">
        <v>201</v>
      </c>
      <c r="AU66" s="46"/>
      <c r="AX66" s="44" t="s">
        <v>209</v>
      </c>
      <c r="AY66" s="73">
        <f>SUM(AC61:AC73)</f>
        <v>30.393176207497106</v>
      </c>
      <c r="AZ66" s="73">
        <v>33.341249833758653</v>
      </c>
    </row>
    <row r="67" spans="1:52" ht="23.25">
      <c r="A67" s="121"/>
      <c r="B67" s="303"/>
      <c r="C67" s="85" t="s">
        <v>109</v>
      </c>
      <c r="D67" s="85" t="s">
        <v>491</v>
      </c>
      <c r="E67" s="151" t="s">
        <v>151</v>
      </c>
      <c r="F67" s="85">
        <f>IF($AP$64="no", 0, 1)</f>
        <v>0</v>
      </c>
      <c r="G67" s="85">
        <v>60</v>
      </c>
      <c r="H67" s="85">
        <v>120</v>
      </c>
      <c r="I67" s="85">
        <v>0</v>
      </c>
      <c r="J67" s="85">
        <v>120</v>
      </c>
      <c r="K67" s="85">
        <v>0</v>
      </c>
      <c r="L67" s="85">
        <v>0</v>
      </c>
      <c r="M67" s="85">
        <v>0</v>
      </c>
      <c r="N67" s="85">
        <v>0</v>
      </c>
      <c r="O67" s="85">
        <v>40</v>
      </c>
      <c r="P67" s="85">
        <v>40</v>
      </c>
      <c r="Q67" s="85">
        <v>20</v>
      </c>
      <c r="R67" s="85">
        <v>0</v>
      </c>
      <c r="S67" s="85">
        <v>0</v>
      </c>
      <c r="T67" s="85">
        <f t="shared" si="0"/>
        <v>0</v>
      </c>
      <c r="U67" s="89"/>
      <c r="V67" s="89">
        <f t="shared" si="1"/>
        <v>0</v>
      </c>
      <c r="W67" s="89">
        <f t="shared" si="2"/>
        <v>0</v>
      </c>
      <c r="X67" s="89">
        <f t="shared" si="3"/>
        <v>0</v>
      </c>
      <c r="Y67" s="89">
        <f t="shared" si="12"/>
        <v>0</v>
      </c>
      <c r="Z67" s="89">
        <f t="shared" si="13"/>
        <v>0</v>
      </c>
      <c r="AA67" s="89">
        <f t="shared" si="4"/>
        <v>0</v>
      </c>
      <c r="AB67" s="89">
        <f t="shared" si="14"/>
        <v>0</v>
      </c>
      <c r="AC67" s="89">
        <f t="shared" si="5"/>
        <v>0</v>
      </c>
      <c r="AD67" s="89">
        <f t="shared" si="6"/>
        <v>0</v>
      </c>
      <c r="AE67" s="89">
        <f t="shared" si="7"/>
        <v>0</v>
      </c>
      <c r="AF67" s="89">
        <f t="shared" si="8"/>
        <v>0</v>
      </c>
      <c r="AG67" s="89">
        <f t="shared" si="9"/>
        <v>0</v>
      </c>
      <c r="AH67" s="89">
        <f t="shared" si="10"/>
        <v>0</v>
      </c>
      <c r="AI67" s="89">
        <v>0</v>
      </c>
      <c r="AJ67" s="89"/>
      <c r="AK67" s="89">
        <v>0</v>
      </c>
      <c r="AL67" s="154">
        <f t="shared" si="27"/>
        <v>0</v>
      </c>
      <c r="AM67" s="120"/>
      <c r="AN67" s="301"/>
      <c r="AO67" s="192" t="s">
        <v>168</v>
      </c>
      <c r="AP67" s="140">
        <v>1</v>
      </c>
      <c r="AQ67" s="142" t="s">
        <v>167</v>
      </c>
      <c r="AR67" s="120"/>
      <c r="AT67" s="44" t="s">
        <v>223</v>
      </c>
      <c r="AU67" s="46"/>
      <c r="AX67" s="44" t="s">
        <v>191</v>
      </c>
      <c r="AY67" s="73">
        <f>SUM(AD61:AD73)</f>
        <v>0</v>
      </c>
      <c r="AZ67" s="73">
        <v>0</v>
      </c>
    </row>
    <row r="68" spans="1:52" ht="23.25">
      <c r="A68" s="121"/>
      <c r="B68" s="303"/>
      <c r="C68" s="85">
        <v>12</v>
      </c>
      <c r="D68" s="85" t="s">
        <v>492</v>
      </c>
      <c r="E68" s="151" t="s">
        <v>302</v>
      </c>
      <c r="F68" s="85">
        <f>IF($AP$64="no", 0, 1)</f>
        <v>0</v>
      </c>
      <c r="G68" s="85">
        <v>30</v>
      </c>
      <c r="H68" s="85">
        <v>30</v>
      </c>
      <c r="I68" s="85">
        <v>0</v>
      </c>
      <c r="J68" s="85">
        <v>0</v>
      </c>
      <c r="K68" s="85">
        <v>0</v>
      </c>
      <c r="L68" s="85">
        <v>0</v>
      </c>
      <c r="M68" s="85">
        <v>0</v>
      </c>
      <c r="N68" s="85">
        <v>0</v>
      </c>
      <c r="O68" s="85">
        <v>0</v>
      </c>
      <c r="P68" s="85">
        <v>0</v>
      </c>
      <c r="Q68" s="85">
        <v>0</v>
      </c>
      <c r="R68" s="85">
        <v>0</v>
      </c>
      <c r="S68" s="85">
        <v>0</v>
      </c>
      <c r="T68" s="85">
        <v>0</v>
      </c>
      <c r="U68" s="89"/>
      <c r="V68" s="89">
        <f t="shared" si="1"/>
        <v>0</v>
      </c>
      <c r="W68" s="89">
        <f t="shared" si="2"/>
        <v>0</v>
      </c>
      <c r="X68" s="89">
        <f t="shared" si="3"/>
        <v>0</v>
      </c>
      <c r="Y68" s="89">
        <f t="shared" si="12"/>
        <v>0</v>
      </c>
      <c r="Z68" s="89">
        <f t="shared" si="13"/>
        <v>0</v>
      </c>
      <c r="AA68" s="89">
        <f t="shared" si="4"/>
        <v>0</v>
      </c>
      <c r="AB68" s="89">
        <f t="shared" si="14"/>
        <v>0</v>
      </c>
      <c r="AC68" s="89">
        <f t="shared" si="5"/>
        <v>0</v>
      </c>
      <c r="AD68" s="89">
        <f t="shared" si="6"/>
        <v>0</v>
      </c>
      <c r="AE68" s="89">
        <f t="shared" si="7"/>
        <v>0</v>
      </c>
      <c r="AF68" s="89">
        <f t="shared" si="8"/>
        <v>0</v>
      </c>
      <c r="AG68" s="89">
        <f t="shared" si="9"/>
        <v>0</v>
      </c>
      <c r="AH68" s="89">
        <f t="shared" si="10"/>
        <v>0</v>
      </c>
      <c r="AI68" s="89">
        <v>0</v>
      </c>
      <c r="AJ68" s="89"/>
      <c r="AK68" s="89">
        <v>0</v>
      </c>
      <c r="AL68" s="154">
        <f t="shared" ref="AL68" si="29">SUM(V68:AK68)</f>
        <v>0</v>
      </c>
      <c r="AM68" s="120"/>
      <c r="AN68" s="301"/>
      <c r="AO68" s="193"/>
      <c r="AP68" s="164"/>
      <c r="AQ68" s="165"/>
      <c r="AR68" s="120"/>
      <c r="AT68" s="44" t="s">
        <v>202</v>
      </c>
      <c r="AU68" s="46"/>
      <c r="AX68" s="44" t="s">
        <v>192</v>
      </c>
      <c r="AY68" s="73">
        <f>SUM(AE61:AE73)</f>
        <v>0</v>
      </c>
      <c r="AZ68" s="73">
        <v>0</v>
      </c>
    </row>
    <row r="69" spans="1:52" ht="23.25">
      <c r="A69" s="121"/>
      <c r="B69" s="303"/>
      <c r="C69" s="85">
        <v>7</v>
      </c>
      <c r="D69" s="85" t="s">
        <v>494</v>
      </c>
      <c r="E69" s="151" t="s">
        <v>149</v>
      </c>
      <c r="F69" s="85">
        <f>$AP$65</f>
        <v>1</v>
      </c>
      <c r="G69" s="85">
        <v>30</v>
      </c>
      <c r="H69" s="85">
        <v>0</v>
      </c>
      <c r="I69" s="85">
        <v>0</v>
      </c>
      <c r="J69" s="85">
        <v>0</v>
      </c>
      <c r="K69" s="85">
        <v>0</v>
      </c>
      <c r="L69" s="85">
        <v>30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f t="shared" si="0"/>
        <v>30</v>
      </c>
      <c r="U69" s="89"/>
      <c r="V69" s="89">
        <f t="shared" si="1"/>
        <v>3.2628689787154594</v>
      </c>
      <c r="W69" s="89">
        <f t="shared" si="2"/>
        <v>0</v>
      </c>
      <c r="X69" s="89">
        <f t="shared" si="3"/>
        <v>0</v>
      </c>
      <c r="Y69" s="89">
        <f t="shared" si="12"/>
        <v>0</v>
      </c>
      <c r="Z69" s="89">
        <f>IF(ISNUMBER(SEARCH("CCR4", E69)),(T69-K69)*$Z$3*F69, 0)</f>
        <v>6.2086821393722511</v>
      </c>
      <c r="AA69" s="89">
        <f>L69*$AA$3*F69</f>
        <v>100</v>
      </c>
      <c r="AB69" s="89">
        <f t="shared" si="14"/>
        <v>0</v>
      </c>
      <c r="AC69" s="89">
        <f t="shared" si="5"/>
        <v>0</v>
      </c>
      <c r="AD69" s="89">
        <f t="shared" si="6"/>
        <v>0</v>
      </c>
      <c r="AE69" s="89">
        <f t="shared" si="7"/>
        <v>0</v>
      </c>
      <c r="AF69" s="89">
        <f t="shared" si="8"/>
        <v>0</v>
      </c>
      <c r="AG69" s="89">
        <f t="shared" si="9"/>
        <v>0</v>
      </c>
      <c r="AH69" s="89">
        <f t="shared" si="10"/>
        <v>0</v>
      </c>
      <c r="AI69" s="89">
        <v>0</v>
      </c>
      <c r="AJ69" s="89"/>
      <c r="AK69" s="89">
        <v>0</v>
      </c>
      <c r="AL69" s="154">
        <f>SUM(V69:AK69)*1</f>
        <v>109.47155111808772</v>
      </c>
      <c r="AM69" s="120"/>
      <c r="AN69" s="120"/>
      <c r="AO69" s="122"/>
      <c r="AP69" s="123"/>
      <c r="AQ69" s="120"/>
      <c r="AR69" s="120"/>
      <c r="AT69" s="44" t="s">
        <v>224</v>
      </c>
      <c r="AU69" s="46"/>
      <c r="AX69" s="44" t="s">
        <v>193</v>
      </c>
      <c r="AY69" s="73">
        <f>SUM(AF61:AF73)</f>
        <v>0</v>
      </c>
      <c r="AZ69" s="73">
        <v>0</v>
      </c>
    </row>
    <row r="70" spans="1:52" ht="24" thickBot="1">
      <c r="A70" s="121"/>
      <c r="B70" s="303"/>
      <c r="C70" s="85">
        <v>8</v>
      </c>
      <c r="D70" s="85" t="s">
        <v>441</v>
      </c>
      <c r="E70" s="151" t="s">
        <v>132</v>
      </c>
      <c r="F70" s="85">
        <f>$AP$67</f>
        <v>1</v>
      </c>
      <c r="G70" s="85">
        <v>5</v>
      </c>
      <c r="H70" s="85">
        <v>10</v>
      </c>
      <c r="I70" s="85">
        <v>0</v>
      </c>
      <c r="J70" s="85">
        <v>0</v>
      </c>
      <c r="K70" s="85">
        <f>K9</f>
        <v>6.1</v>
      </c>
      <c r="L70" s="85">
        <v>0</v>
      </c>
      <c r="M70" s="85">
        <v>0</v>
      </c>
      <c r="N70" s="85">
        <v>0</v>
      </c>
      <c r="O70" s="85">
        <v>0</v>
      </c>
      <c r="P70" s="85">
        <v>0</v>
      </c>
      <c r="Q70" s="85">
        <v>0</v>
      </c>
      <c r="R70" s="85">
        <v>0</v>
      </c>
      <c r="S70" s="85">
        <v>0</v>
      </c>
      <c r="T70" s="85">
        <f t="shared" si="0"/>
        <v>16.100000000000001</v>
      </c>
      <c r="U70" s="89"/>
      <c r="V70" s="89">
        <f t="shared" si="1"/>
        <v>1.7510730185772967</v>
      </c>
      <c r="W70" s="89">
        <f t="shared" si="2"/>
        <v>19.181249999999999</v>
      </c>
      <c r="X70" s="89">
        <f t="shared" si="3"/>
        <v>0</v>
      </c>
      <c r="Y70" s="89">
        <f t="shared" si="12"/>
        <v>0</v>
      </c>
      <c r="Z70" s="89">
        <f t="shared" si="13"/>
        <v>0</v>
      </c>
      <c r="AA70" s="89">
        <f t="shared" si="4"/>
        <v>0</v>
      </c>
      <c r="AB70" s="89">
        <f t="shared" si="14"/>
        <v>12.731072172619047</v>
      </c>
      <c r="AC70" s="89">
        <f t="shared" si="5"/>
        <v>2.7224430964131034</v>
      </c>
      <c r="AD70" s="89">
        <f t="shared" si="6"/>
        <v>0</v>
      </c>
      <c r="AE70" s="89">
        <f t="shared" si="7"/>
        <v>0</v>
      </c>
      <c r="AF70" s="89">
        <f t="shared" si="8"/>
        <v>0</v>
      </c>
      <c r="AG70" s="89">
        <f t="shared" si="9"/>
        <v>0</v>
      </c>
      <c r="AH70" s="89">
        <f t="shared" si="10"/>
        <v>0</v>
      </c>
      <c r="AI70" s="89">
        <v>0</v>
      </c>
      <c r="AJ70" s="89"/>
      <c r="AK70" s="89">
        <v>0</v>
      </c>
      <c r="AL70" s="154">
        <f t="shared" si="27"/>
        <v>36.385838287609445</v>
      </c>
      <c r="AM70" s="120"/>
      <c r="AN70" s="120"/>
      <c r="AO70" s="163">
        <f>SUM(V61:AK73)</f>
        <v>878.21134633462157</v>
      </c>
      <c r="AP70" s="120"/>
      <c r="AQ70" s="120"/>
      <c r="AR70" s="120"/>
      <c r="AT70" s="44" t="s">
        <v>203</v>
      </c>
      <c r="AU70" s="50"/>
      <c r="AX70" s="44" t="s">
        <v>146</v>
      </c>
      <c r="AY70" s="73">
        <f>SUM(AG61:AG73)</f>
        <v>125.32916666666667</v>
      </c>
      <c r="AZ70" s="73">
        <v>125.32916666666667</v>
      </c>
    </row>
    <row r="71" spans="1:52" ht="24.75" thickTop="1" thickBot="1">
      <c r="A71" s="121"/>
      <c r="B71" s="303"/>
      <c r="C71" s="85">
        <v>9</v>
      </c>
      <c r="D71" s="85" t="s">
        <v>495</v>
      </c>
      <c r="E71" s="151" t="s">
        <v>148</v>
      </c>
      <c r="F71" s="85">
        <f>$AP$67</f>
        <v>1</v>
      </c>
      <c r="G71" s="85">
        <v>30</v>
      </c>
      <c r="H71" s="85">
        <v>0</v>
      </c>
      <c r="I71" s="85">
        <v>0</v>
      </c>
      <c r="J71" s="85">
        <v>0</v>
      </c>
      <c r="K71" s="85">
        <v>15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f t="shared" si="0"/>
        <v>15</v>
      </c>
      <c r="U71" s="89"/>
      <c r="V71" s="89">
        <f t="shared" si="1"/>
        <v>1.6314344893577297</v>
      </c>
      <c r="W71" s="89">
        <f t="shared" si="2"/>
        <v>0</v>
      </c>
      <c r="X71" s="89">
        <f t="shared" si="3"/>
        <v>0</v>
      </c>
      <c r="Y71" s="89">
        <f t="shared" si="12"/>
        <v>0</v>
      </c>
      <c r="Z71" s="89">
        <f t="shared" si="13"/>
        <v>0</v>
      </c>
      <c r="AA71" s="89">
        <f t="shared" si="4"/>
        <v>0</v>
      </c>
      <c r="AB71" s="89">
        <f t="shared" si="14"/>
        <v>31.305915178571428</v>
      </c>
      <c r="AC71" s="89">
        <f t="shared" si="5"/>
        <v>6.694532204294517</v>
      </c>
      <c r="AD71" s="89">
        <f t="shared" si="6"/>
        <v>0</v>
      </c>
      <c r="AE71" s="89">
        <f t="shared" si="7"/>
        <v>0</v>
      </c>
      <c r="AF71" s="89">
        <f t="shared" si="8"/>
        <v>0</v>
      </c>
      <c r="AG71" s="89">
        <f t="shared" si="9"/>
        <v>0</v>
      </c>
      <c r="AH71" s="89">
        <f t="shared" si="10"/>
        <v>0</v>
      </c>
      <c r="AI71" s="89">
        <v>0</v>
      </c>
      <c r="AJ71" s="89"/>
      <c r="AK71" s="89">
        <v>0</v>
      </c>
      <c r="AL71" s="154">
        <f t="shared" si="27"/>
        <v>39.631881872223673</v>
      </c>
      <c r="AM71" s="120"/>
      <c r="AN71" s="120"/>
      <c r="AO71" s="120"/>
      <c r="AP71" s="120"/>
      <c r="AQ71" s="120"/>
      <c r="AR71" s="120"/>
      <c r="AT71" s="47" t="s">
        <v>204</v>
      </c>
      <c r="AU71" s="37">
        <f>SUM(AU64:AU70)</f>
        <v>878.21134633462145</v>
      </c>
      <c r="AX71" s="44" t="s">
        <v>285</v>
      </c>
      <c r="AY71" s="50">
        <f>SUM(AH61:AH73)</f>
        <v>0</v>
      </c>
      <c r="AZ71" s="50">
        <v>0</v>
      </c>
    </row>
    <row r="72" spans="1:52" ht="24" thickTop="1">
      <c r="A72" s="121"/>
      <c r="B72" s="303"/>
      <c r="C72" s="85">
        <v>10</v>
      </c>
      <c r="D72" s="85" t="s">
        <v>496</v>
      </c>
      <c r="E72" s="151" t="s">
        <v>132</v>
      </c>
      <c r="F72" s="85">
        <f>$AP$67</f>
        <v>1</v>
      </c>
      <c r="G72" s="85">
        <v>30</v>
      </c>
      <c r="H72" s="85">
        <v>0</v>
      </c>
      <c r="I72" s="85">
        <v>0</v>
      </c>
      <c r="J72" s="85">
        <v>0</v>
      </c>
      <c r="K72" s="85">
        <f>K11</f>
        <v>47</v>
      </c>
      <c r="L72" s="85">
        <v>0</v>
      </c>
      <c r="M72" s="85">
        <v>0</v>
      </c>
      <c r="N72" s="85">
        <v>0</v>
      </c>
      <c r="O72" s="85">
        <v>0</v>
      </c>
      <c r="P72" s="85">
        <v>0</v>
      </c>
      <c r="Q72" s="85">
        <v>0</v>
      </c>
      <c r="R72" s="85">
        <v>0</v>
      </c>
      <c r="S72" s="85">
        <v>0</v>
      </c>
      <c r="T72" s="85">
        <f t="shared" si="0"/>
        <v>47</v>
      </c>
      <c r="U72" s="89"/>
      <c r="V72" s="89">
        <f t="shared" si="1"/>
        <v>5.11182806665422</v>
      </c>
      <c r="W72" s="89">
        <f t="shared" si="2"/>
        <v>0</v>
      </c>
      <c r="X72" s="89">
        <f t="shared" si="3"/>
        <v>0</v>
      </c>
      <c r="Y72" s="89">
        <f t="shared" si="12"/>
        <v>0</v>
      </c>
      <c r="Z72" s="89">
        <f t="shared" si="13"/>
        <v>0</v>
      </c>
      <c r="AA72" s="89">
        <f t="shared" si="4"/>
        <v>0</v>
      </c>
      <c r="AB72" s="89">
        <f t="shared" si="14"/>
        <v>98.091867559523806</v>
      </c>
      <c r="AC72" s="89">
        <f t="shared" si="5"/>
        <v>20.976200906789487</v>
      </c>
      <c r="AD72" s="89">
        <f t="shared" si="6"/>
        <v>0</v>
      </c>
      <c r="AE72" s="89">
        <f t="shared" si="7"/>
        <v>0</v>
      </c>
      <c r="AF72" s="89">
        <f t="shared" si="8"/>
        <v>0</v>
      </c>
      <c r="AG72" s="89">
        <f t="shared" si="9"/>
        <v>0</v>
      </c>
      <c r="AH72" s="89">
        <f t="shared" si="10"/>
        <v>0</v>
      </c>
      <c r="AI72" s="89">
        <v>0</v>
      </c>
      <c r="AJ72" s="89"/>
      <c r="AK72" s="89">
        <v>0</v>
      </c>
      <c r="AL72" s="154">
        <f t="shared" si="27"/>
        <v>124.17989653296752</v>
      </c>
      <c r="AM72" s="120"/>
      <c r="AN72" s="120"/>
      <c r="AO72" s="120"/>
      <c r="AP72" s="120"/>
      <c r="AQ72" s="120"/>
      <c r="AR72" s="120"/>
      <c r="AX72" s="74"/>
      <c r="AY72" s="75">
        <f>SUM(AY54:AY71)</f>
        <v>878.21134633462134</v>
      </c>
      <c r="AZ72" s="75">
        <v>895.66405283316737</v>
      </c>
    </row>
    <row r="73" spans="1:52" ht="24" thickBot="1">
      <c r="A73" s="121"/>
      <c r="B73" s="303"/>
      <c r="C73" s="85">
        <v>11</v>
      </c>
      <c r="D73" s="85" t="s">
        <v>497</v>
      </c>
      <c r="E73" s="151" t="s">
        <v>150</v>
      </c>
      <c r="F73" s="85">
        <f>AP66-1</f>
        <v>1</v>
      </c>
      <c r="G73" s="85">
        <v>30</v>
      </c>
      <c r="H73" s="85">
        <v>30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f t="shared" si="0"/>
        <v>30</v>
      </c>
      <c r="U73" s="89"/>
      <c r="V73" s="89">
        <f t="shared" si="1"/>
        <v>3.2628689787154594</v>
      </c>
      <c r="W73" s="89">
        <f t="shared" si="2"/>
        <v>57.543749999999996</v>
      </c>
      <c r="X73" s="89">
        <f t="shared" si="3"/>
        <v>0</v>
      </c>
      <c r="Y73" s="89">
        <f>J73*$Y$3*F73</f>
        <v>0</v>
      </c>
      <c r="Z73" s="89">
        <f>IF(ISNUMBER(SEARCH("CCR4", E73)),(T73-K73)*$Z$3, 0)</f>
        <v>6.2086821393722511</v>
      </c>
      <c r="AA73" s="89">
        <f t="shared" si="4"/>
        <v>0</v>
      </c>
      <c r="AB73" s="89">
        <f>K73*$AB$3*F73</f>
        <v>0</v>
      </c>
      <c r="AC73" s="89">
        <f t="shared" si="5"/>
        <v>0</v>
      </c>
      <c r="AD73" s="89">
        <f t="shared" si="6"/>
        <v>0</v>
      </c>
      <c r="AE73" s="89">
        <f t="shared" si="7"/>
        <v>0</v>
      </c>
      <c r="AF73" s="89">
        <f t="shared" si="8"/>
        <v>0</v>
      </c>
      <c r="AG73" s="89">
        <f t="shared" si="9"/>
        <v>0</v>
      </c>
      <c r="AH73" s="89">
        <f t="shared" si="10"/>
        <v>0</v>
      </c>
      <c r="AI73" s="89">
        <v>0</v>
      </c>
      <c r="AJ73" s="89"/>
      <c r="AK73" s="89">
        <v>0</v>
      </c>
      <c r="AL73" s="177">
        <f t="shared" si="27"/>
        <v>67.015301118087706</v>
      </c>
      <c r="AM73" s="163">
        <f>SUM(AL61:AL73)</f>
        <v>878.21134633462145</v>
      </c>
      <c r="AN73" s="158"/>
      <c r="AO73" s="120"/>
      <c r="AP73" s="120"/>
      <c r="AQ73" s="120"/>
      <c r="AR73" s="120"/>
    </row>
    <row r="74" spans="1:52" ht="24" thickTop="1">
      <c r="A74" s="121"/>
      <c r="B74" s="304"/>
      <c r="C74" s="87"/>
      <c r="D74" s="118"/>
      <c r="E74" s="252" t="s">
        <v>552</v>
      </c>
      <c r="F74" s="119"/>
      <c r="G74" s="253">
        <f>($F62*G62)+($F63*G63)+($F64*G64)+($F65*G65)+($F66*G66)+($F67*G67)+($F68*G68)+($F69*G69)+($F70*G70)+($F71*G71)+($F72*G72)+($F73*G73)+($F61*G61)</f>
        <v>250</v>
      </c>
      <c r="H74" s="253">
        <f>($F62*H62)+($F63*H63)+($F64*H64)+($F65*H65)+($F66*H66)+($F67*H67)+($F68*H68)+($F69*H69)+($F70*H70)+($F71*H71)+($F72*H72)+($F73*H73)+($F61*H61)</f>
        <v>80</v>
      </c>
      <c r="I74" s="253">
        <f t="shared" ref="I74:S74" si="30">($F62*I62)+($F63*I63)+($F64*I64)+($F65*I65)+($F66*I66)+($F67*I67)+($F68*I68)+($F69*I69)+($F70*I70)+($F71*I71)+($F72*I72)+($F73*I73)+($F61*I61)</f>
        <v>0</v>
      </c>
      <c r="J74" s="253">
        <f t="shared" si="30"/>
        <v>60</v>
      </c>
      <c r="K74" s="253">
        <f t="shared" si="30"/>
        <v>68.099999999999994</v>
      </c>
      <c r="L74" s="253">
        <f t="shared" si="30"/>
        <v>30</v>
      </c>
      <c r="M74" s="253">
        <f t="shared" si="30"/>
        <v>30</v>
      </c>
      <c r="N74" s="253">
        <f t="shared" si="30"/>
        <v>30</v>
      </c>
      <c r="O74" s="253">
        <f t="shared" si="30"/>
        <v>0</v>
      </c>
      <c r="P74" s="253">
        <f t="shared" si="30"/>
        <v>0</v>
      </c>
      <c r="Q74" s="253">
        <f t="shared" si="30"/>
        <v>0</v>
      </c>
      <c r="R74" s="253">
        <f t="shared" si="30"/>
        <v>0</v>
      </c>
      <c r="S74" s="253">
        <f t="shared" si="30"/>
        <v>0</v>
      </c>
      <c r="T74" s="253">
        <f t="shared" ref="T74:AL74" si="31">SUM(T61:T73)</f>
        <v>298.10000000000002</v>
      </c>
      <c r="U74" s="253">
        <f t="shared" si="31"/>
        <v>0</v>
      </c>
      <c r="V74" s="253">
        <f t="shared" si="31"/>
        <v>32.422041418502616</v>
      </c>
      <c r="W74" s="253">
        <f t="shared" si="31"/>
        <v>153.44999999999999</v>
      </c>
      <c r="X74" s="253">
        <f t="shared" si="31"/>
        <v>0</v>
      </c>
      <c r="Y74" s="253">
        <f t="shared" si="31"/>
        <v>50.212500000000013</v>
      </c>
      <c r="Z74" s="253">
        <f t="shared" si="31"/>
        <v>20.695607131240838</v>
      </c>
      <c r="AA74" s="253">
        <f t="shared" si="31"/>
        <v>100</v>
      </c>
      <c r="AB74" s="253">
        <f t="shared" si="31"/>
        <v>142.12885491071427</v>
      </c>
      <c r="AC74" s="253">
        <f t="shared" si="31"/>
        <v>30.393176207497106</v>
      </c>
      <c r="AD74" s="253">
        <f t="shared" si="31"/>
        <v>0</v>
      </c>
      <c r="AE74" s="253">
        <f t="shared" si="31"/>
        <v>0</v>
      </c>
      <c r="AF74" s="253">
        <f t="shared" si="31"/>
        <v>0</v>
      </c>
      <c r="AG74" s="253">
        <f t="shared" si="31"/>
        <v>125.32916666666667</v>
      </c>
      <c r="AH74" s="253">
        <f t="shared" si="31"/>
        <v>0</v>
      </c>
      <c r="AI74" s="253">
        <f t="shared" si="31"/>
        <v>0</v>
      </c>
      <c r="AJ74" s="253">
        <f t="shared" si="31"/>
        <v>0</v>
      </c>
      <c r="AK74" s="253">
        <f t="shared" si="31"/>
        <v>223.57999999999998</v>
      </c>
      <c r="AL74" s="178">
        <f t="shared" si="31"/>
        <v>878.21134633462145</v>
      </c>
      <c r="AM74" s="158"/>
      <c r="AN74" s="158"/>
      <c r="AO74" s="120"/>
      <c r="AP74" s="120"/>
      <c r="AQ74" s="120"/>
      <c r="AR74" s="120"/>
    </row>
    <row r="75" spans="1:52" ht="17.25" thickBot="1">
      <c r="A75" s="120"/>
      <c r="B75" s="120"/>
      <c r="C75" s="167"/>
      <c r="D75" s="120"/>
      <c r="E75" s="120"/>
      <c r="F75" s="109"/>
      <c r="G75" s="168"/>
      <c r="H75" s="176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69"/>
      <c r="U75" s="169"/>
      <c r="V75" s="170"/>
      <c r="W75" s="159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71"/>
      <c r="AJ75" s="120"/>
      <c r="AK75" s="120"/>
      <c r="AL75" s="170"/>
      <c r="AM75" s="158"/>
      <c r="AN75" s="158"/>
      <c r="AO75" s="120"/>
      <c r="AP75" s="120"/>
      <c r="AQ75" s="120"/>
      <c r="AR75" s="120"/>
    </row>
    <row r="76" spans="1:52" ht="21" customHeight="1" thickBot="1">
      <c r="A76" s="121"/>
      <c r="B76" s="302" t="s">
        <v>457</v>
      </c>
      <c r="C76" s="83">
        <v>1</v>
      </c>
      <c r="D76" s="83" t="s">
        <v>498</v>
      </c>
      <c r="E76" s="150" t="s">
        <v>68</v>
      </c>
      <c r="F76" s="83">
        <f>IF($AP$77="yes", 1, 0)</f>
        <v>0</v>
      </c>
      <c r="G76" s="83">
        <v>30</v>
      </c>
      <c r="H76" s="83">
        <v>0</v>
      </c>
      <c r="I76" s="83">
        <v>90</v>
      </c>
      <c r="J76" s="83">
        <v>90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3">
        <v>0</v>
      </c>
      <c r="Q76" s="83">
        <v>30</v>
      </c>
      <c r="R76" s="83">
        <v>0</v>
      </c>
      <c r="S76" s="83">
        <v>0</v>
      </c>
      <c r="T76" s="83">
        <f t="shared" si="0"/>
        <v>0</v>
      </c>
      <c r="U76" s="90"/>
      <c r="V76" s="88">
        <f t="shared" si="1"/>
        <v>0</v>
      </c>
      <c r="W76" s="88">
        <f>H76*$W$3*F76</f>
        <v>0</v>
      </c>
      <c r="X76" s="88">
        <f t="shared" si="3"/>
        <v>0</v>
      </c>
      <c r="Y76" s="88">
        <f t="shared" si="12"/>
        <v>0</v>
      </c>
      <c r="Z76" s="88">
        <f>IF(ISNUMBER(SEARCH("CCR4", E76)),(T76-K76)*$Z$3, 0)</f>
        <v>0</v>
      </c>
      <c r="AA76" s="88">
        <f t="shared" si="4"/>
        <v>0</v>
      </c>
      <c r="AB76" s="88">
        <f>K76*$AB$3*F76</f>
        <v>0</v>
      </c>
      <c r="AC76" s="88">
        <f t="shared" si="5"/>
        <v>0</v>
      </c>
      <c r="AD76" s="88">
        <f t="shared" si="6"/>
        <v>0</v>
      </c>
      <c r="AE76" s="88">
        <f t="shared" si="7"/>
        <v>0</v>
      </c>
      <c r="AF76" s="88">
        <f t="shared" si="8"/>
        <v>0</v>
      </c>
      <c r="AG76" s="88">
        <f t="shared" si="9"/>
        <v>0</v>
      </c>
      <c r="AH76" s="88">
        <f t="shared" si="10"/>
        <v>0</v>
      </c>
      <c r="AI76" s="88">
        <v>0</v>
      </c>
      <c r="AJ76" s="88"/>
      <c r="AK76" s="88">
        <v>0</v>
      </c>
      <c r="AL76" s="152">
        <f t="shared" ref="AL76:AL85" si="32">SUM(V76:AK76)*F76</f>
        <v>0</v>
      </c>
      <c r="AM76" s="295" t="s">
        <v>366</v>
      </c>
      <c r="AN76" s="120"/>
      <c r="AO76" s="240" t="s">
        <v>451</v>
      </c>
      <c r="AP76" s="240" t="s">
        <v>49</v>
      </c>
      <c r="AQ76" s="240" t="s">
        <v>452</v>
      </c>
      <c r="AR76" s="120"/>
      <c r="AT76" s="38" t="s">
        <v>194</v>
      </c>
      <c r="AU76" s="39" t="s">
        <v>362</v>
      </c>
      <c r="AX76" s="38" t="s">
        <v>378</v>
      </c>
      <c r="AY76" s="38" t="s">
        <v>373</v>
      </c>
    </row>
    <row r="77" spans="1:52" ht="23.25" customHeight="1">
      <c r="A77" s="121"/>
      <c r="B77" s="303"/>
      <c r="C77" s="85">
        <v>2</v>
      </c>
      <c r="D77" s="85" t="s">
        <v>499</v>
      </c>
      <c r="E77" s="151" t="s">
        <v>52</v>
      </c>
      <c r="F77" s="85">
        <v>1</v>
      </c>
      <c r="G77" s="85">
        <v>30</v>
      </c>
      <c r="H77" s="85">
        <v>0</v>
      </c>
      <c r="I77" s="85">
        <v>0</v>
      </c>
      <c r="J77" s="85">
        <v>30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30</v>
      </c>
      <c r="R77" s="85">
        <v>0</v>
      </c>
      <c r="S77" s="85">
        <v>0</v>
      </c>
      <c r="T77" s="85">
        <f t="shared" si="0"/>
        <v>60</v>
      </c>
      <c r="U77" s="91"/>
      <c r="V77" s="89">
        <f t="shared" si="1"/>
        <v>6.5257379574309189</v>
      </c>
      <c r="W77" s="89">
        <f t="shared" ref="W77:W113" si="33">H77*$W$3*F77</f>
        <v>0</v>
      </c>
      <c r="X77" s="89">
        <f t="shared" si="3"/>
        <v>0</v>
      </c>
      <c r="Y77" s="89">
        <f t="shared" si="12"/>
        <v>25.106250000000003</v>
      </c>
      <c r="Z77" s="89">
        <f t="shared" ref="Z77:Z113" si="34">IF(ISNUMBER(SEARCH("CCR4", E77)),(T77-K77)*$Z$3, 0)</f>
        <v>0</v>
      </c>
      <c r="AA77" s="89">
        <f t="shared" si="4"/>
        <v>0</v>
      </c>
      <c r="AB77" s="89">
        <f t="shared" ref="AB77:AB113" si="35">K77*$AB$3*F77</f>
        <v>0</v>
      </c>
      <c r="AC77" s="89">
        <f t="shared" si="5"/>
        <v>0</v>
      </c>
      <c r="AD77" s="89">
        <f t="shared" si="6"/>
        <v>0</v>
      </c>
      <c r="AE77" s="89">
        <f t="shared" si="7"/>
        <v>0</v>
      </c>
      <c r="AF77" s="89">
        <f t="shared" si="8"/>
        <v>0</v>
      </c>
      <c r="AG77" s="89">
        <f t="shared" si="9"/>
        <v>0</v>
      </c>
      <c r="AH77" s="89">
        <f t="shared" si="10"/>
        <v>0</v>
      </c>
      <c r="AI77" s="89">
        <v>0</v>
      </c>
      <c r="AJ77" s="89"/>
      <c r="AK77" s="89">
        <v>0</v>
      </c>
      <c r="AL77" s="153">
        <f t="shared" si="32"/>
        <v>31.631987957430923</v>
      </c>
      <c r="AM77" s="296"/>
      <c r="AN77" s="121"/>
      <c r="AO77" s="190" t="s">
        <v>58</v>
      </c>
      <c r="AP77" s="183" t="s">
        <v>18</v>
      </c>
      <c r="AQ77" s="184"/>
      <c r="AR77" s="120"/>
      <c r="AT77" s="40" t="s">
        <v>278</v>
      </c>
      <c r="AU77" s="293" t="s">
        <v>365</v>
      </c>
      <c r="AX77" s="44" t="s">
        <v>225</v>
      </c>
      <c r="AY77" s="73">
        <f>SUM(AI76:AI113)+SUM(AK76:AK113)</f>
        <v>173.70293333333336</v>
      </c>
    </row>
    <row r="78" spans="1:52" ht="24" thickBot="1">
      <c r="A78" s="121"/>
      <c r="B78" s="303"/>
      <c r="C78" s="85">
        <v>3</v>
      </c>
      <c r="D78" s="85" t="s">
        <v>500</v>
      </c>
      <c r="E78" s="151" t="s">
        <v>52</v>
      </c>
      <c r="F78" s="85">
        <v>1</v>
      </c>
      <c r="G78" s="85">
        <v>20</v>
      </c>
      <c r="H78" s="85">
        <v>0</v>
      </c>
      <c r="I78" s="85">
        <v>0</v>
      </c>
      <c r="J78" s="85">
        <v>5</v>
      </c>
      <c r="K78" s="85">
        <v>0</v>
      </c>
      <c r="L78" s="85">
        <v>0</v>
      </c>
      <c r="M78" s="85">
        <v>0</v>
      </c>
      <c r="N78" s="85">
        <v>0</v>
      </c>
      <c r="O78" s="85">
        <v>0</v>
      </c>
      <c r="P78" s="85">
        <v>0</v>
      </c>
      <c r="Q78" s="85">
        <v>0</v>
      </c>
      <c r="R78" s="85">
        <v>0</v>
      </c>
      <c r="S78" s="85">
        <v>0</v>
      </c>
      <c r="T78" s="85">
        <f t="shared" si="0"/>
        <v>5</v>
      </c>
      <c r="U78" s="91"/>
      <c r="V78" s="89">
        <f t="shared" si="1"/>
        <v>0.54381149645257654</v>
      </c>
      <c r="W78" s="89">
        <f t="shared" si="33"/>
        <v>0</v>
      </c>
      <c r="X78" s="89">
        <f t="shared" si="3"/>
        <v>0</v>
      </c>
      <c r="Y78" s="89">
        <f t="shared" si="12"/>
        <v>4.1843750000000011</v>
      </c>
      <c r="Z78" s="89">
        <f t="shared" si="34"/>
        <v>0</v>
      </c>
      <c r="AA78" s="89">
        <f t="shared" si="4"/>
        <v>0</v>
      </c>
      <c r="AB78" s="89">
        <f t="shared" si="35"/>
        <v>0</v>
      </c>
      <c r="AC78" s="89">
        <f t="shared" si="5"/>
        <v>0</v>
      </c>
      <c r="AD78" s="89">
        <f t="shared" si="6"/>
        <v>0</v>
      </c>
      <c r="AE78" s="89">
        <f t="shared" si="7"/>
        <v>0</v>
      </c>
      <c r="AF78" s="89">
        <f t="shared" si="8"/>
        <v>0</v>
      </c>
      <c r="AG78" s="89">
        <f t="shared" si="9"/>
        <v>0</v>
      </c>
      <c r="AH78" s="89">
        <f t="shared" si="10"/>
        <v>0</v>
      </c>
      <c r="AI78" s="89">
        <v>0</v>
      </c>
      <c r="AJ78" s="89"/>
      <c r="AK78" s="89">
        <v>0</v>
      </c>
      <c r="AL78" s="153">
        <f t="shared" si="32"/>
        <v>4.7281864964525777</v>
      </c>
      <c r="AM78" s="296"/>
      <c r="AN78" s="121"/>
      <c r="AO78" s="191" t="s">
        <v>170</v>
      </c>
      <c r="AP78" s="182" t="s">
        <v>65</v>
      </c>
      <c r="AQ78" s="185"/>
      <c r="AR78" s="120"/>
      <c r="AT78" s="41"/>
      <c r="AU78" s="294"/>
      <c r="AX78" s="44" t="s">
        <v>226</v>
      </c>
      <c r="AY78" s="73">
        <f>SUM(AJ76:AJ113)</f>
        <v>526.80571428571432</v>
      </c>
    </row>
    <row r="79" spans="1:52" ht="41.25" thickBot="1">
      <c r="A79" s="121"/>
      <c r="B79" s="303"/>
      <c r="C79" s="85">
        <v>4</v>
      </c>
      <c r="D79" s="85" t="s">
        <v>501</v>
      </c>
      <c r="E79" s="151" t="s">
        <v>68</v>
      </c>
      <c r="F79" s="85">
        <v>1</v>
      </c>
      <c r="G79" s="85">
        <v>30</v>
      </c>
      <c r="H79" s="85">
        <v>0</v>
      </c>
      <c r="I79" s="85">
        <v>0</v>
      </c>
      <c r="J79" s="85">
        <v>0</v>
      </c>
      <c r="K79" s="85">
        <v>0</v>
      </c>
      <c r="L79" s="85">
        <v>0</v>
      </c>
      <c r="M79" s="85">
        <v>0</v>
      </c>
      <c r="N79" s="85">
        <v>0</v>
      </c>
      <c r="O79" s="85">
        <v>0</v>
      </c>
      <c r="P79" s="85">
        <v>0</v>
      </c>
      <c r="Q79" s="85">
        <v>30</v>
      </c>
      <c r="R79" s="85">
        <v>0</v>
      </c>
      <c r="S79" s="85">
        <v>0</v>
      </c>
      <c r="T79" s="85">
        <f t="shared" si="0"/>
        <v>30</v>
      </c>
      <c r="U79" s="91"/>
      <c r="V79" s="89">
        <f t="shared" si="1"/>
        <v>3.2628689787154594</v>
      </c>
      <c r="W79" s="89">
        <f t="shared" si="33"/>
        <v>0</v>
      </c>
      <c r="X79" s="89">
        <f t="shared" si="3"/>
        <v>0</v>
      </c>
      <c r="Y79" s="89">
        <f t="shared" si="12"/>
        <v>0</v>
      </c>
      <c r="Z79" s="89">
        <f t="shared" si="34"/>
        <v>0</v>
      </c>
      <c r="AA79" s="89">
        <f t="shared" si="4"/>
        <v>0</v>
      </c>
      <c r="AB79" s="89">
        <f t="shared" si="35"/>
        <v>0</v>
      </c>
      <c r="AC79" s="89">
        <f t="shared" si="5"/>
        <v>0</v>
      </c>
      <c r="AD79" s="89">
        <f t="shared" si="6"/>
        <v>0</v>
      </c>
      <c r="AE79" s="89">
        <f t="shared" si="7"/>
        <v>0</v>
      </c>
      <c r="AF79" s="89">
        <f t="shared" si="8"/>
        <v>0</v>
      </c>
      <c r="AG79" s="89">
        <f t="shared" si="9"/>
        <v>0</v>
      </c>
      <c r="AH79" s="89">
        <f t="shared" si="10"/>
        <v>0</v>
      </c>
      <c r="AI79" s="89">
        <v>0</v>
      </c>
      <c r="AJ79" s="89">
        <f>inputs!E28</f>
        <v>508.58571428571429</v>
      </c>
      <c r="AK79" s="89">
        <v>0</v>
      </c>
      <c r="AL79" s="153">
        <f t="shared" si="32"/>
        <v>511.84858326442975</v>
      </c>
      <c r="AM79" s="296"/>
      <c r="AN79" s="121"/>
      <c r="AO79" s="191" t="s">
        <v>169</v>
      </c>
      <c r="AP79" s="182">
        <v>4</v>
      </c>
      <c r="AQ79" s="185"/>
      <c r="AR79" s="120"/>
      <c r="AT79" s="42" t="s">
        <v>199</v>
      </c>
      <c r="AU79" s="43"/>
      <c r="AX79" s="44" t="s">
        <v>205</v>
      </c>
      <c r="AY79" s="73">
        <f>SUM(V76:V113)</f>
        <v>102.04078919436148</v>
      </c>
    </row>
    <row r="80" spans="1:52" ht="23.25">
      <c r="A80" s="121"/>
      <c r="B80" s="303"/>
      <c r="C80" s="85">
        <v>5</v>
      </c>
      <c r="D80" s="85" t="s">
        <v>502</v>
      </c>
      <c r="E80" s="151" t="s">
        <v>152</v>
      </c>
      <c r="F80" s="85">
        <v>1</v>
      </c>
      <c r="G80" s="85">
        <v>30</v>
      </c>
      <c r="H80" s="85">
        <v>0</v>
      </c>
      <c r="I80" s="85">
        <v>30</v>
      </c>
      <c r="J80" s="85">
        <v>30</v>
      </c>
      <c r="K80" s="85">
        <v>0</v>
      </c>
      <c r="L80" s="85">
        <v>0</v>
      </c>
      <c r="M80" s="85">
        <v>0</v>
      </c>
      <c r="N80" s="85">
        <v>0</v>
      </c>
      <c r="O80" s="85">
        <v>0</v>
      </c>
      <c r="P80" s="85">
        <v>0</v>
      </c>
      <c r="Q80" s="85">
        <v>0</v>
      </c>
      <c r="R80" s="85">
        <v>0</v>
      </c>
      <c r="S80" s="85">
        <v>0</v>
      </c>
      <c r="T80" s="85">
        <f t="shared" si="0"/>
        <v>60</v>
      </c>
      <c r="U80" s="91"/>
      <c r="V80" s="89">
        <f t="shared" si="1"/>
        <v>6.5257379574309189</v>
      </c>
      <c r="W80" s="89">
        <f t="shared" si="33"/>
        <v>0</v>
      </c>
      <c r="X80" s="89">
        <f t="shared" si="3"/>
        <v>32.299999999999997</v>
      </c>
      <c r="Y80" s="89">
        <f t="shared" si="12"/>
        <v>25.106250000000003</v>
      </c>
      <c r="Z80" s="89">
        <f t="shared" si="34"/>
        <v>12.417364278744502</v>
      </c>
      <c r="AA80" s="89">
        <f t="shared" si="4"/>
        <v>0</v>
      </c>
      <c r="AB80" s="89">
        <f t="shared" si="35"/>
        <v>0</v>
      </c>
      <c r="AC80" s="89">
        <f t="shared" si="5"/>
        <v>0</v>
      </c>
      <c r="AD80" s="89">
        <f t="shared" si="6"/>
        <v>0</v>
      </c>
      <c r="AE80" s="89">
        <f t="shared" si="7"/>
        <v>0</v>
      </c>
      <c r="AF80" s="89">
        <f t="shared" si="8"/>
        <v>0</v>
      </c>
      <c r="AG80" s="89">
        <f t="shared" si="9"/>
        <v>0</v>
      </c>
      <c r="AH80" s="89">
        <f t="shared" si="10"/>
        <v>0</v>
      </c>
      <c r="AI80" s="89">
        <v>0</v>
      </c>
      <c r="AJ80" s="89"/>
      <c r="AK80" s="89">
        <v>0</v>
      </c>
      <c r="AL80" s="153">
        <f t="shared" si="32"/>
        <v>76.34935223617542</v>
      </c>
      <c r="AM80" s="296"/>
      <c r="AN80" s="121"/>
      <c r="AO80" s="191" t="s">
        <v>63</v>
      </c>
      <c r="AP80" s="182">
        <v>1</v>
      </c>
      <c r="AQ80" s="185"/>
      <c r="AR80" s="120"/>
      <c r="AT80" s="44" t="s">
        <v>222</v>
      </c>
      <c r="AU80" s="45"/>
      <c r="AX80" s="44" t="s">
        <v>206</v>
      </c>
      <c r="AY80" s="73">
        <f>SUM(W76:W113)</f>
        <v>57.543749999999996</v>
      </c>
    </row>
    <row r="81" spans="1:51" ht="23.25">
      <c r="A81" s="121"/>
      <c r="B81" s="303"/>
      <c r="C81" s="85">
        <v>6</v>
      </c>
      <c r="D81" s="85" t="s">
        <v>503</v>
      </c>
      <c r="E81" s="151" t="s">
        <v>52</v>
      </c>
      <c r="F81" s="85">
        <v>1</v>
      </c>
      <c r="G81" s="85">
        <v>10</v>
      </c>
      <c r="H81" s="85">
        <v>0</v>
      </c>
      <c r="I81" s="85">
        <v>0</v>
      </c>
      <c r="J81" s="85">
        <v>5</v>
      </c>
      <c r="K81" s="85">
        <v>0</v>
      </c>
      <c r="L81" s="85">
        <v>0</v>
      </c>
      <c r="M81" s="85">
        <v>0</v>
      </c>
      <c r="N81" s="85">
        <v>0</v>
      </c>
      <c r="O81" s="85">
        <v>0</v>
      </c>
      <c r="P81" s="85">
        <v>0</v>
      </c>
      <c r="Q81" s="85">
        <v>0</v>
      </c>
      <c r="R81" s="85">
        <v>0</v>
      </c>
      <c r="S81" s="85">
        <v>0</v>
      </c>
      <c r="T81" s="85">
        <f t="shared" si="0"/>
        <v>5</v>
      </c>
      <c r="U81" s="91"/>
      <c r="V81" s="89">
        <f t="shared" si="1"/>
        <v>0.54381149645257654</v>
      </c>
      <c r="W81" s="89">
        <f t="shared" si="33"/>
        <v>0</v>
      </c>
      <c r="X81" s="89">
        <f t="shared" si="3"/>
        <v>0</v>
      </c>
      <c r="Y81" s="89">
        <f t="shared" si="12"/>
        <v>4.1843750000000011</v>
      </c>
      <c r="Z81" s="89">
        <f t="shared" si="34"/>
        <v>0</v>
      </c>
      <c r="AA81" s="89">
        <f t="shared" si="4"/>
        <v>0</v>
      </c>
      <c r="AB81" s="89">
        <f t="shared" si="35"/>
        <v>0</v>
      </c>
      <c r="AC81" s="89">
        <f t="shared" si="5"/>
        <v>0</v>
      </c>
      <c r="AD81" s="89">
        <f t="shared" si="6"/>
        <v>0</v>
      </c>
      <c r="AE81" s="89">
        <f t="shared" si="7"/>
        <v>0</v>
      </c>
      <c r="AF81" s="89">
        <f t="shared" si="8"/>
        <v>0</v>
      </c>
      <c r="AG81" s="89">
        <f t="shared" si="9"/>
        <v>0</v>
      </c>
      <c r="AH81" s="89">
        <f t="shared" si="10"/>
        <v>0</v>
      </c>
      <c r="AI81" s="89">
        <v>0</v>
      </c>
      <c r="AJ81" s="89"/>
      <c r="AK81" s="89">
        <f>inputs!E37*F81</f>
        <v>26.86</v>
      </c>
      <c r="AL81" s="153">
        <f t="shared" si="32"/>
        <v>31.588186496452579</v>
      </c>
      <c r="AM81" s="296"/>
      <c r="AN81" s="121"/>
      <c r="AO81" s="191" t="s">
        <v>232</v>
      </c>
      <c r="AP81" s="182">
        <v>6</v>
      </c>
      <c r="AQ81" s="185" t="s">
        <v>214</v>
      </c>
      <c r="AR81" s="120"/>
      <c r="AT81" s="44" t="s">
        <v>200</v>
      </c>
      <c r="AU81" s="45">
        <f>SUM(AL76:AL89)</f>
        <v>853.92500092329203</v>
      </c>
      <c r="AX81" s="44" t="s">
        <v>279</v>
      </c>
      <c r="AY81" s="73">
        <f>SUM(X76:X113)</f>
        <v>204.56666666666666</v>
      </c>
    </row>
    <row r="82" spans="1:51" ht="23.25">
      <c r="A82" s="121"/>
      <c r="B82" s="303"/>
      <c r="C82" s="85">
        <v>7</v>
      </c>
      <c r="D82" s="85" t="s">
        <v>504</v>
      </c>
      <c r="E82" s="151"/>
      <c r="F82" s="85">
        <v>0</v>
      </c>
      <c r="G82" s="85">
        <v>0</v>
      </c>
      <c r="H82" s="85">
        <v>0</v>
      </c>
      <c r="I82" s="85">
        <v>0</v>
      </c>
      <c r="J82" s="85">
        <v>0</v>
      </c>
      <c r="K82" s="85">
        <v>0</v>
      </c>
      <c r="L82" s="85">
        <v>0</v>
      </c>
      <c r="M82" s="85">
        <v>0</v>
      </c>
      <c r="N82" s="85">
        <v>0</v>
      </c>
      <c r="O82" s="85">
        <v>0</v>
      </c>
      <c r="P82" s="85">
        <v>0</v>
      </c>
      <c r="Q82" s="85">
        <v>0</v>
      </c>
      <c r="R82" s="85">
        <v>0</v>
      </c>
      <c r="S82" s="85">
        <v>0</v>
      </c>
      <c r="T82" s="85">
        <f t="shared" ref="T82:T230" si="36">SUM(H82:S82)*F82</f>
        <v>0</v>
      </c>
      <c r="U82" s="91"/>
      <c r="V82" s="89">
        <f t="shared" ref="V82:V147" si="37">T82*$V$3*F82</f>
        <v>0</v>
      </c>
      <c r="W82" s="89">
        <f t="shared" si="33"/>
        <v>0</v>
      </c>
      <c r="X82" s="89">
        <f t="shared" ref="X82:X125" si="38">I82*$X$3*F82</f>
        <v>0</v>
      </c>
      <c r="Y82" s="89">
        <f t="shared" si="12"/>
        <v>0</v>
      </c>
      <c r="Z82" s="89">
        <f t="shared" si="34"/>
        <v>0</v>
      </c>
      <c r="AA82" s="89">
        <f t="shared" ref="AA82:AA147" si="39">L82*$AA$3*F82</f>
        <v>0</v>
      </c>
      <c r="AB82" s="89">
        <f t="shared" si="35"/>
        <v>0</v>
      </c>
      <c r="AC82" s="89">
        <f t="shared" ref="AC82:AC147" si="40">(IF(ISNUMBER(SEARCH("CCR7", E82)),K82*$AC$3, 0))*F82</f>
        <v>0</v>
      </c>
      <c r="AD82" s="89">
        <f t="shared" ref="AD82:AD147" si="41">(IF(ISNUMBER(SEARCH("CCR8", E82)),K82*$AD$3, 0))*F82</f>
        <v>0</v>
      </c>
      <c r="AE82" s="89">
        <f t="shared" ref="AE82:AE147" si="42">IF(ISNUMBER(SEARCH("CCR9", E82)),K82*$AE$3*F82, 0)</f>
        <v>0</v>
      </c>
      <c r="AF82" s="89">
        <f t="shared" ref="AF82:AF147" si="43">(IF(ISNUMBER(SEARCH("CCR10", E82)),K82*$AF$3, 0))*F82</f>
        <v>0</v>
      </c>
      <c r="AG82" s="89">
        <f t="shared" ref="AG82:AG147" si="44">IF(ISNUMBER(SEARCH("CCR11", E82)),T82*$AG$3, 0)</f>
        <v>0</v>
      </c>
      <c r="AH82" s="89">
        <f t="shared" ref="AH82:AH147" si="45">(IF(ISNUMBER(SEARCH("CCR12", E82)),T82*$AH$3, 0))*F82</f>
        <v>0</v>
      </c>
      <c r="AI82" s="89">
        <v>0</v>
      </c>
      <c r="AJ82" s="89"/>
      <c r="AK82" s="89">
        <v>0</v>
      </c>
      <c r="AL82" s="153">
        <f t="shared" si="32"/>
        <v>0</v>
      </c>
      <c r="AM82" s="296"/>
      <c r="AN82" s="121"/>
      <c r="AO82" s="192" t="s">
        <v>234</v>
      </c>
      <c r="AP82" s="85">
        <f>AP90</f>
        <v>20.256410256410255</v>
      </c>
      <c r="AQ82" s="186" t="s">
        <v>233</v>
      </c>
      <c r="AR82" s="120"/>
      <c r="AT82" s="44" t="s">
        <v>201</v>
      </c>
      <c r="AU82" s="45">
        <f>SUM(AL90:AL96)</f>
        <v>637.66173243010689</v>
      </c>
      <c r="AX82" s="44" t="s">
        <v>122</v>
      </c>
      <c r="AY82" s="73">
        <f>SUM(Y76:Y113)</f>
        <v>288.72187500000007</v>
      </c>
    </row>
    <row r="83" spans="1:51" ht="23.25">
      <c r="A83" s="121"/>
      <c r="B83" s="303"/>
      <c r="C83" s="85">
        <v>8</v>
      </c>
      <c r="D83" s="85" t="s">
        <v>468</v>
      </c>
      <c r="E83" s="151" t="s">
        <v>52</v>
      </c>
      <c r="F83" s="85">
        <f>IF(AP86="no", 0, 1)</f>
        <v>0</v>
      </c>
      <c r="G83" s="85">
        <v>10</v>
      </c>
      <c r="H83" s="85">
        <v>0</v>
      </c>
      <c r="I83" s="85">
        <v>0</v>
      </c>
      <c r="J83" s="85">
        <v>10</v>
      </c>
      <c r="K83" s="85">
        <v>0</v>
      </c>
      <c r="L83" s="85">
        <v>0</v>
      </c>
      <c r="M83" s="85">
        <v>0</v>
      </c>
      <c r="N83" s="85">
        <v>0</v>
      </c>
      <c r="O83" s="85">
        <v>0</v>
      </c>
      <c r="P83" s="85">
        <v>0</v>
      </c>
      <c r="Q83" s="85">
        <v>0</v>
      </c>
      <c r="R83" s="85">
        <v>0</v>
      </c>
      <c r="S83" s="85">
        <v>0</v>
      </c>
      <c r="T83" s="85">
        <f t="shared" si="36"/>
        <v>0</v>
      </c>
      <c r="U83" s="91"/>
      <c r="V83" s="89">
        <f t="shared" si="37"/>
        <v>0</v>
      </c>
      <c r="W83" s="89">
        <f t="shared" si="33"/>
        <v>0</v>
      </c>
      <c r="X83" s="89">
        <f t="shared" si="38"/>
        <v>0</v>
      </c>
      <c r="Y83" s="89">
        <f t="shared" ref="Y83:Y148" si="46">J83*$Y$3*F83</f>
        <v>0</v>
      </c>
      <c r="Z83" s="89">
        <f t="shared" si="34"/>
        <v>0</v>
      </c>
      <c r="AA83" s="89">
        <f t="shared" si="39"/>
        <v>0</v>
      </c>
      <c r="AB83" s="89">
        <f t="shared" si="35"/>
        <v>0</v>
      </c>
      <c r="AC83" s="89">
        <f t="shared" si="40"/>
        <v>0</v>
      </c>
      <c r="AD83" s="89">
        <f t="shared" si="41"/>
        <v>0</v>
      </c>
      <c r="AE83" s="89">
        <f t="shared" si="42"/>
        <v>0</v>
      </c>
      <c r="AF83" s="89">
        <f t="shared" si="43"/>
        <v>0</v>
      </c>
      <c r="AG83" s="89">
        <f t="shared" si="44"/>
        <v>0</v>
      </c>
      <c r="AH83" s="89">
        <f t="shared" si="45"/>
        <v>0</v>
      </c>
      <c r="AI83" s="89">
        <v>0</v>
      </c>
      <c r="AJ83" s="89"/>
      <c r="AK83" s="89">
        <v>0</v>
      </c>
      <c r="AL83" s="153">
        <f t="shared" si="32"/>
        <v>0</v>
      </c>
      <c r="AM83" s="296"/>
      <c r="AN83" s="121"/>
      <c r="AO83" s="192" t="s">
        <v>235</v>
      </c>
      <c r="AP83" s="85">
        <f>AP91</f>
        <v>10.588235294117647</v>
      </c>
      <c r="AQ83" s="186" t="s">
        <v>233</v>
      </c>
      <c r="AR83" s="120"/>
      <c r="AT83" s="44" t="s">
        <v>223</v>
      </c>
      <c r="AU83" s="45">
        <f>SUM(AL97:AL106)</f>
        <v>441.75445045931053</v>
      </c>
      <c r="AX83" s="44" t="s">
        <v>207</v>
      </c>
      <c r="AY83" s="73">
        <f>SUM(Z76:Z113)</f>
        <v>91.060671377459698</v>
      </c>
    </row>
    <row r="84" spans="1:51" ht="23.25">
      <c r="A84" s="121"/>
      <c r="B84" s="303"/>
      <c r="C84" s="85">
        <v>9</v>
      </c>
      <c r="D84" s="85" t="s">
        <v>501</v>
      </c>
      <c r="E84" s="151"/>
      <c r="F84" s="85">
        <v>1</v>
      </c>
      <c r="G84" s="85">
        <v>0</v>
      </c>
      <c r="H84" s="85">
        <v>0</v>
      </c>
      <c r="I84" s="85">
        <v>0</v>
      </c>
      <c r="J84" s="85">
        <v>0</v>
      </c>
      <c r="K84" s="85">
        <v>0</v>
      </c>
      <c r="L84" s="85">
        <v>0</v>
      </c>
      <c r="M84" s="85">
        <v>0</v>
      </c>
      <c r="N84" s="85">
        <v>0</v>
      </c>
      <c r="O84" s="85">
        <v>0</v>
      </c>
      <c r="P84" s="85">
        <v>0</v>
      </c>
      <c r="Q84" s="85">
        <v>0</v>
      </c>
      <c r="R84" s="85">
        <v>0</v>
      </c>
      <c r="S84" s="85">
        <v>0</v>
      </c>
      <c r="T84" s="85">
        <f t="shared" si="36"/>
        <v>0</v>
      </c>
      <c r="U84" s="91"/>
      <c r="V84" s="89">
        <f t="shared" si="37"/>
        <v>0</v>
      </c>
      <c r="W84" s="89">
        <f t="shared" si="33"/>
        <v>0</v>
      </c>
      <c r="X84" s="89">
        <f t="shared" si="38"/>
        <v>0</v>
      </c>
      <c r="Y84" s="89">
        <f t="shared" si="46"/>
        <v>0</v>
      </c>
      <c r="Z84" s="89">
        <f t="shared" si="34"/>
        <v>0</v>
      </c>
      <c r="AA84" s="89">
        <f t="shared" si="39"/>
        <v>0</v>
      </c>
      <c r="AB84" s="89">
        <f t="shared" si="35"/>
        <v>0</v>
      </c>
      <c r="AC84" s="89">
        <f t="shared" si="40"/>
        <v>0</v>
      </c>
      <c r="AD84" s="89">
        <f t="shared" si="41"/>
        <v>0</v>
      </c>
      <c r="AE84" s="89">
        <f t="shared" si="42"/>
        <v>0</v>
      </c>
      <c r="AF84" s="89">
        <f t="shared" si="43"/>
        <v>0</v>
      </c>
      <c r="AG84" s="89">
        <f t="shared" si="44"/>
        <v>0</v>
      </c>
      <c r="AH84" s="89">
        <f t="shared" si="45"/>
        <v>0</v>
      </c>
      <c r="AI84" s="89">
        <v>0</v>
      </c>
      <c r="AJ84" s="89"/>
      <c r="AK84" s="89">
        <v>0</v>
      </c>
      <c r="AL84" s="153">
        <f t="shared" si="32"/>
        <v>0</v>
      </c>
      <c r="AM84" s="296"/>
      <c r="AN84" s="121"/>
      <c r="AO84" s="192" t="s">
        <v>164</v>
      </c>
      <c r="AP84" s="85" t="s">
        <v>18</v>
      </c>
      <c r="AQ84" s="186" t="s">
        <v>173</v>
      </c>
      <c r="AR84" s="120"/>
      <c r="AT84" s="44" t="s">
        <v>202</v>
      </c>
      <c r="AU84" s="45">
        <f>AL107</f>
        <v>293.98836278362671</v>
      </c>
      <c r="AX84" s="44" t="s">
        <v>123</v>
      </c>
      <c r="AY84" s="73">
        <f>SUM(AA76:AA113)</f>
        <v>0</v>
      </c>
    </row>
    <row r="85" spans="1:51" ht="23.25">
      <c r="A85" s="121"/>
      <c r="B85" s="303"/>
      <c r="C85" s="85">
        <v>10</v>
      </c>
      <c r="D85" s="85" t="s">
        <v>502</v>
      </c>
      <c r="E85" s="151" t="s">
        <v>152</v>
      </c>
      <c r="F85" s="85">
        <v>1</v>
      </c>
      <c r="G85" s="85">
        <v>30</v>
      </c>
      <c r="H85" s="85">
        <v>0</v>
      </c>
      <c r="I85" s="85">
        <v>30</v>
      </c>
      <c r="J85" s="85">
        <v>30</v>
      </c>
      <c r="K85" s="85">
        <v>0</v>
      </c>
      <c r="L85" s="85">
        <v>0</v>
      </c>
      <c r="M85" s="85">
        <v>0</v>
      </c>
      <c r="N85" s="85">
        <v>0</v>
      </c>
      <c r="O85" s="85">
        <v>0</v>
      </c>
      <c r="P85" s="85">
        <v>0</v>
      </c>
      <c r="Q85" s="85">
        <v>0</v>
      </c>
      <c r="R85" s="85">
        <v>0</v>
      </c>
      <c r="S85" s="85">
        <v>0</v>
      </c>
      <c r="T85" s="85">
        <f t="shared" si="36"/>
        <v>60</v>
      </c>
      <c r="U85" s="91"/>
      <c r="V85" s="89">
        <f t="shared" si="37"/>
        <v>6.5257379574309189</v>
      </c>
      <c r="W85" s="89">
        <f t="shared" si="33"/>
        <v>0</v>
      </c>
      <c r="X85" s="89">
        <f t="shared" si="38"/>
        <v>32.299999999999997</v>
      </c>
      <c r="Y85" s="89">
        <f t="shared" si="46"/>
        <v>25.106250000000003</v>
      </c>
      <c r="Z85" s="89">
        <f t="shared" si="34"/>
        <v>12.417364278744502</v>
      </c>
      <c r="AA85" s="89">
        <f t="shared" si="39"/>
        <v>0</v>
      </c>
      <c r="AB85" s="89">
        <f t="shared" si="35"/>
        <v>0</v>
      </c>
      <c r="AC85" s="89">
        <f t="shared" si="40"/>
        <v>0</v>
      </c>
      <c r="AD85" s="89">
        <f t="shared" si="41"/>
        <v>0</v>
      </c>
      <c r="AE85" s="89">
        <f t="shared" si="42"/>
        <v>0</v>
      </c>
      <c r="AF85" s="89">
        <f t="shared" si="43"/>
        <v>0</v>
      </c>
      <c r="AG85" s="89">
        <f t="shared" si="44"/>
        <v>0</v>
      </c>
      <c r="AH85" s="89">
        <f t="shared" si="45"/>
        <v>0</v>
      </c>
      <c r="AI85" s="89">
        <v>0</v>
      </c>
      <c r="AJ85" s="89"/>
      <c r="AK85" s="89">
        <v>0</v>
      </c>
      <c r="AL85" s="153">
        <f t="shared" si="32"/>
        <v>76.34935223617542</v>
      </c>
      <c r="AM85" s="296"/>
      <c r="AN85" s="121"/>
      <c r="AO85" s="192" t="s">
        <v>165</v>
      </c>
      <c r="AP85" s="85" t="s">
        <v>18</v>
      </c>
      <c r="AQ85" s="186" t="s">
        <v>173</v>
      </c>
      <c r="AR85" s="120"/>
      <c r="AT85" s="44" t="s">
        <v>224</v>
      </c>
      <c r="AU85" s="45">
        <f>SUM(AL108:AL111)</f>
        <v>207.55321273071434</v>
      </c>
      <c r="AX85" s="44" t="s">
        <v>208</v>
      </c>
      <c r="AY85" s="73">
        <f>SUM(AB76:AB113)</f>
        <v>653.66750892857135</v>
      </c>
    </row>
    <row r="86" spans="1:51" ht="24" thickBot="1">
      <c r="A86" s="121"/>
      <c r="B86" s="303"/>
      <c r="C86" s="85">
        <v>11</v>
      </c>
      <c r="D86" s="85" t="s">
        <v>502</v>
      </c>
      <c r="E86" s="151" t="s">
        <v>152</v>
      </c>
      <c r="F86" s="85">
        <v>1</v>
      </c>
      <c r="G86" s="85">
        <v>30</v>
      </c>
      <c r="H86" s="85">
        <v>0</v>
      </c>
      <c r="I86" s="85">
        <v>30</v>
      </c>
      <c r="J86" s="85">
        <v>30</v>
      </c>
      <c r="K86" s="85">
        <v>0</v>
      </c>
      <c r="L86" s="85">
        <v>0</v>
      </c>
      <c r="M86" s="85">
        <v>0</v>
      </c>
      <c r="N86" s="85">
        <v>0</v>
      </c>
      <c r="O86" s="85">
        <v>0</v>
      </c>
      <c r="P86" s="85">
        <v>0</v>
      </c>
      <c r="Q86" s="85">
        <v>0</v>
      </c>
      <c r="R86" s="85">
        <v>0</v>
      </c>
      <c r="S86" s="85">
        <v>0</v>
      </c>
      <c r="T86" s="85">
        <f t="shared" si="36"/>
        <v>60</v>
      </c>
      <c r="U86" s="91"/>
      <c r="V86" s="89">
        <f t="shared" si="37"/>
        <v>6.5257379574309189</v>
      </c>
      <c r="W86" s="89">
        <f t="shared" si="33"/>
        <v>0</v>
      </c>
      <c r="X86" s="89">
        <f>I86*$X$3*F86</f>
        <v>32.299999999999997</v>
      </c>
      <c r="Y86" s="89">
        <f t="shared" si="46"/>
        <v>25.106250000000003</v>
      </c>
      <c r="Z86" s="89">
        <f t="shared" si="34"/>
        <v>12.417364278744502</v>
      </c>
      <c r="AA86" s="89">
        <f t="shared" si="39"/>
        <v>0</v>
      </c>
      <c r="AB86" s="89">
        <f t="shared" si="35"/>
        <v>0</v>
      </c>
      <c r="AC86" s="89">
        <f t="shared" si="40"/>
        <v>0</v>
      </c>
      <c r="AD86" s="89">
        <f t="shared" si="41"/>
        <v>0</v>
      </c>
      <c r="AE86" s="89">
        <f t="shared" si="42"/>
        <v>0</v>
      </c>
      <c r="AF86" s="89">
        <f t="shared" si="43"/>
        <v>0</v>
      </c>
      <c r="AG86" s="89">
        <f t="shared" si="44"/>
        <v>0</v>
      </c>
      <c r="AH86" s="89">
        <f t="shared" si="45"/>
        <v>0</v>
      </c>
      <c r="AI86" s="89">
        <v>0</v>
      </c>
      <c r="AJ86" s="89"/>
      <c r="AK86" s="89">
        <v>0</v>
      </c>
      <c r="AL86" s="153">
        <f>SUM(V86:AK86)</f>
        <v>76.34935223617542</v>
      </c>
      <c r="AM86" s="296"/>
      <c r="AN86" s="121"/>
      <c r="AO86" s="192" t="s">
        <v>239</v>
      </c>
      <c r="AP86" s="85" t="s">
        <v>18</v>
      </c>
      <c r="AQ86" s="186" t="s">
        <v>57</v>
      </c>
      <c r="AR86" s="120"/>
      <c r="AT86" s="44" t="s">
        <v>203</v>
      </c>
      <c r="AU86" s="50">
        <f>SUM(AL112:AL113)</f>
        <v>174.84465335426313</v>
      </c>
      <c r="AX86" s="44" t="s">
        <v>209</v>
      </c>
      <c r="AY86" s="73">
        <f>SUM(AC76:AC113)</f>
        <v>86.537986294180456</v>
      </c>
    </row>
    <row r="87" spans="1:51" ht="24" thickTop="1">
      <c r="A87" s="121"/>
      <c r="B87" s="303"/>
      <c r="C87" s="85">
        <v>12</v>
      </c>
      <c r="D87" s="85" t="s">
        <v>503</v>
      </c>
      <c r="E87" s="151" t="s">
        <v>52</v>
      </c>
      <c r="F87" s="85">
        <f>AP80</f>
        <v>1</v>
      </c>
      <c r="G87" s="85">
        <v>5</v>
      </c>
      <c r="H87" s="85">
        <v>0</v>
      </c>
      <c r="I87" s="85">
        <v>0</v>
      </c>
      <c r="J87" s="85">
        <v>0</v>
      </c>
      <c r="K87" s="85">
        <v>0</v>
      </c>
      <c r="L87" s="85">
        <v>0</v>
      </c>
      <c r="M87" s="85">
        <v>0</v>
      </c>
      <c r="N87" s="85">
        <v>0</v>
      </c>
      <c r="O87" s="85">
        <v>0</v>
      </c>
      <c r="P87" s="85">
        <v>0</v>
      </c>
      <c r="Q87" s="85">
        <v>0</v>
      </c>
      <c r="R87" s="85">
        <v>0</v>
      </c>
      <c r="S87" s="85">
        <v>0</v>
      </c>
      <c r="T87" s="85">
        <f t="shared" si="36"/>
        <v>0</v>
      </c>
      <c r="U87" s="91"/>
      <c r="V87" s="89">
        <f t="shared" si="37"/>
        <v>0</v>
      </c>
      <c r="W87" s="89">
        <f t="shared" si="33"/>
        <v>0</v>
      </c>
      <c r="X87" s="89">
        <f t="shared" si="38"/>
        <v>0</v>
      </c>
      <c r="Y87" s="89">
        <f t="shared" si="46"/>
        <v>0</v>
      </c>
      <c r="Z87" s="89">
        <f t="shared" si="34"/>
        <v>0</v>
      </c>
      <c r="AA87" s="89">
        <f t="shared" si="39"/>
        <v>0</v>
      </c>
      <c r="AB87" s="89">
        <f t="shared" si="35"/>
        <v>0</v>
      </c>
      <c r="AC87" s="89">
        <f t="shared" si="40"/>
        <v>0</v>
      </c>
      <c r="AD87" s="89">
        <f t="shared" si="41"/>
        <v>0</v>
      </c>
      <c r="AE87" s="89">
        <f t="shared" si="42"/>
        <v>0</v>
      </c>
      <c r="AF87" s="89">
        <f t="shared" si="43"/>
        <v>0</v>
      </c>
      <c r="AG87" s="89">
        <f t="shared" si="44"/>
        <v>0</v>
      </c>
      <c r="AH87" s="89">
        <f t="shared" si="45"/>
        <v>0</v>
      </c>
      <c r="AI87" s="89">
        <v>0</v>
      </c>
      <c r="AJ87" s="89"/>
      <c r="AK87" s="89">
        <f>inputs!E37*F87</f>
        <v>26.86</v>
      </c>
      <c r="AL87" s="153">
        <f t="shared" ref="AL87:AL111" si="47">SUM(V87:AK87)*F87</f>
        <v>26.86</v>
      </c>
      <c r="AM87" s="296"/>
      <c r="AN87" s="121"/>
      <c r="AO87" s="192" t="s">
        <v>176</v>
      </c>
      <c r="AP87" s="85" t="s">
        <v>213</v>
      </c>
      <c r="AQ87" s="186" t="s">
        <v>175</v>
      </c>
      <c r="AR87" s="120"/>
      <c r="AT87" s="47" t="s">
        <v>204</v>
      </c>
      <c r="AU87" s="37">
        <f>SUM(AU80:AU86)</f>
        <v>2609.7274126813136</v>
      </c>
      <c r="AX87" s="44" t="s">
        <v>191</v>
      </c>
      <c r="AY87" s="73">
        <f>SUM(AD76:AD113)</f>
        <v>384.74010655052138</v>
      </c>
    </row>
    <row r="88" spans="1:51" ht="23.25">
      <c r="A88" s="121"/>
      <c r="B88" s="303"/>
      <c r="C88" s="85">
        <v>13</v>
      </c>
      <c r="D88" s="85" t="s">
        <v>505</v>
      </c>
      <c r="E88" s="151" t="s">
        <v>152</v>
      </c>
      <c r="F88" s="85">
        <f>IF(AP84="yes", 1, 0)</f>
        <v>0</v>
      </c>
      <c r="G88" s="85">
        <v>30</v>
      </c>
      <c r="H88" s="85">
        <v>30</v>
      </c>
      <c r="I88" s="85">
        <v>0</v>
      </c>
      <c r="J88" s="85">
        <v>0</v>
      </c>
      <c r="K88" s="85">
        <v>0</v>
      </c>
      <c r="L88" s="85">
        <v>0</v>
      </c>
      <c r="M88" s="85">
        <v>0</v>
      </c>
      <c r="N88" s="85">
        <v>0</v>
      </c>
      <c r="O88" s="85">
        <v>0</v>
      </c>
      <c r="P88" s="85">
        <v>0</v>
      </c>
      <c r="Q88" s="85">
        <v>0</v>
      </c>
      <c r="R88" s="85">
        <v>0</v>
      </c>
      <c r="S88" s="85">
        <v>0</v>
      </c>
      <c r="T88" s="85">
        <f t="shared" si="36"/>
        <v>0</v>
      </c>
      <c r="U88" s="91"/>
      <c r="V88" s="89">
        <f t="shared" si="37"/>
        <v>0</v>
      </c>
      <c r="W88" s="89">
        <f t="shared" si="33"/>
        <v>0</v>
      </c>
      <c r="X88" s="89">
        <f t="shared" si="38"/>
        <v>0</v>
      </c>
      <c r="Y88" s="89">
        <f t="shared" si="46"/>
        <v>0</v>
      </c>
      <c r="Z88" s="89">
        <f t="shared" si="34"/>
        <v>0</v>
      </c>
      <c r="AA88" s="89">
        <f t="shared" si="39"/>
        <v>0</v>
      </c>
      <c r="AB88" s="89">
        <f t="shared" si="35"/>
        <v>0</v>
      </c>
      <c r="AC88" s="89">
        <f t="shared" si="40"/>
        <v>0</v>
      </c>
      <c r="AD88" s="89">
        <f t="shared" si="41"/>
        <v>0</v>
      </c>
      <c r="AE88" s="89">
        <f t="shared" si="42"/>
        <v>0</v>
      </c>
      <c r="AF88" s="89">
        <f t="shared" si="43"/>
        <v>0</v>
      </c>
      <c r="AG88" s="89">
        <f t="shared" si="44"/>
        <v>0</v>
      </c>
      <c r="AH88" s="89">
        <f t="shared" si="45"/>
        <v>0</v>
      </c>
      <c r="AI88" s="89">
        <v>0</v>
      </c>
      <c r="AJ88" s="89"/>
      <c r="AK88" s="89">
        <v>0</v>
      </c>
      <c r="AL88" s="153">
        <f t="shared" si="47"/>
        <v>0</v>
      </c>
      <c r="AM88" s="296"/>
      <c r="AN88" s="121"/>
      <c r="AO88" s="192" t="s">
        <v>240</v>
      </c>
      <c r="AP88" s="85">
        <f>AP92</f>
        <v>6.4423076923076925</v>
      </c>
      <c r="AQ88" s="186" t="s">
        <v>82</v>
      </c>
      <c r="AR88" s="120"/>
      <c r="AX88" s="44" t="s">
        <v>192</v>
      </c>
      <c r="AY88" s="73">
        <f>SUM(AE76:AE113)</f>
        <v>0</v>
      </c>
    </row>
    <row r="89" spans="1:51" ht="23.25">
      <c r="A89" s="121"/>
      <c r="B89" s="303"/>
      <c r="C89" s="85">
        <v>14</v>
      </c>
      <c r="D89" s="85" t="s">
        <v>506</v>
      </c>
      <c r="E89" s="151"/>
      <c r="F89" s="85">
        <v>1</v>
      </c>
      <c r="G89" s="85">
        <v>0</v>
      </c>
      <c r="H89" s="85">
        <v>0</v>
      </c>
      <c r="I89" s="85">
        <v>0</v>
      </c>
      <c r="J89" s="85">
        <v>0</v>
      </c>
      <c r="K89" s="85">
        <v>0</v>
      </c>
      <c r="L89" s="85">
        <v>0</v>
      </c>
      <c r="M89" s="85">
        <v>0</v>
      </c>
      <c r="N89" s="85">
        <v>0</v>
      </c>
      <c r="O89" s="85">
        <v>0</v>
      </c>
      <c r="P89" s="85">
        <v>0</v>
      </c>
      <c r="Q89" s="85">
        <v>0</v>
      </c>
      <c r="R89" s="85">
        <v>0</v>
      </c>
      <c r="S89" s="85">
        <v>0</v>
      </c>
      <c r="T89" s="85">
        <f t="shared" si="36"/>
        <v>0</v>
      </c>
      <c r="U89" s="91"/>
      <c r="V89" s="89">
        <f t="shared" si="37"/>
        <v>0</v>
      </c>
      <c r="W89" s="89">
        <f t="shared" si="33"/>
        <v>0</v>
      </c>
      <c r="X89" s="89">
        <f t="shared" si="38"/>
        <v>0</v>
      </c>
      <c r="Y89" s="89">
        <f t="shared" si="46"/>
        <v>0</v>
      </c>
      <c r="Z89" s="89">
        <f t="shared" si="34"/>
        <v>0</v>
      </c>
      <c r="AA89" s="89">
        <f t="shared" si="39"/>
        <v>0</v>
      </c>
      <c r="AB89" s="89">
        <f t="shared" si="35"/>
        <v>0</v>
      </c>
      <c r="AC89" s="89">
        <f t="shared" si="40"/>
        <v>0</v>
      </c>
      <c r="AD89" s="89">
        <f t="shared" si="41"/>
        <v>0</v>
      </c>
      <c r="AE89" s="89">
        <f t="shared" si="42"/>
        <v>0</v>
      </c>
      <c r="AF89" s="89">
        <f t="shared" si="43"/>
        <v>0</v>
      </c>
      <c r="AG89" s="89">
        <f t="shared" si="44"/>
        <v>0</v>
      </c>
      <c r="AH89" s="89">
        <f t="shared" si="45"/>
        <v>0</v>
      </c>
      <c r="AI89" s="89">
        <v>0</v>
      </c>
      <c r="AJ89" s="89">
        <f>inputs!E30*F89</f>
        <v>18.22</v>
      </c>
      <c r="AK89" s="89">
        <v>0</v>
      </c>
      <c r="AL89" s="153">
        <f t="shared" si="47"/>
        <v>18.22</v>
      </c>
      <c r="AM89" s="296"/>
      <c r="AN89" s="181"/>
      <c r="AO89" s="195" t="s">
        <v>458</v>
      </c>
      <c r="AP89" s="3"/>
      <c r="AQ89" s="187"/>
      <c r="AR89" s="120"/>
      <c r="AX89" s="44" t="s">
        <v>193</v>
      </c>
      <c r="AY89" s="73">
        <f>SUM(AF76:AF113)</f>
        <v>40.339411050505049</v>
      </c>
    </row>
    <row r="90" spans="1:51" ht="23.25" customHeight="1">
      <c r="A90" s="121"/>
      <c r="B90" s="303"/>
      <c r="C90" s="85">
        <v>15</v>
      </c>
      <c r="D90" s="85" t="s">
        <v>507</v>
      </c>
      <c r="E90" s="151" t="s">
        <v>156</v>
      </c>
      <c r="F90" s="85">
        <f t="shared" ref="F90:F102" si="48">IF($AP$84="failed", 0, 1)</f>
        <v>1</v>
      </c>
      <c r="G90" s="85">
        <v>0</v>
      </c>
      <c r="H90" s="85">
        <v>0</v>
      </c>
      <c r="I90" s="85">
        <v>0</v>
      </c>
      <c r="J90" s="85">
        <v>0</v>
      </c>
      <c r="K90" s="85">
        <v>5</v>
      </c>
      <c r="L90" s="85">
        <v>0</v>
      </c>
      <c r="M90" s="85">
        <v>0</v>
      </c>
      <c r="N90" s="85">
        <v>0</v>
      </c>
      <c r="O90" s="85">
        <v>0</v>
      </c>
      <c r="P90" s="85">
        <v>0</v>
      </c>
      <c r="Q90" s="85">
        <v>0</v>
      </c>
      <c r="R90" s="85">
        <v>0</v>
      </c>
      <c r="S90" s="85">
        <v>0</v>
      </c>
      <c r="T90" s="85">
        <f t="shared" si="36"/>
        <v>5</v>
      </c>
      <c r="U90" s="91"/>
      <c r="V90" s="89">
        <f t="shared" si="37"/>
        <v>0.54381149645257654</v>
      </c>
      <c r="W90" s="89">
        <f t="shared" si="33"/>
        <v>0</v>
      </c>
      <c r="X90" s="89">
        <f t="shared" si="38"/>
        <v>0</v>
      </c>
      <c r="Y90" s="89">
        <f t="shared" si="46"/>
        <v>0</v>
      </c>
      <c r="Z90" s="89">
        <f t="shared" si="34"/>
        <v>0</v>
      </c>
      <c r="AA90" s="89">
        <f t="shared" si="39"/>
        <v>0</v>
      </c>
      <c r="AB90" s="89">
        <f t="shared" si="35"/>
        <v>10.435305059523809</v>
      </c>
      <c r="AC90" s="89">
        <f t="shared" si="40"/>
        <v>0</v>
      </c>
      <c r="AD90" s="89">
        <f t="shared" si="41"/>
        <v>9.2263814520508731</v>
      </c>
      <c r="AE90" s="89">
        <f t="shared" si="42"/>
        <v>0</v>
      </c>
      <c r="AF90" s="89">
        <f t="shared" si="43"/>
        <v>0</v>
      </c>
      <c r="AG90" s="89">
        <f t="shared" si="44"/>
        <v>0</v>
      </c>
      <c r="AH90" s="89">
        <f t="shared" si="45"/>
        <v>0</v>
      </c>
      <c r="AI90" s="89">
        <v>0</v>
      </c>
      <c r="AJ90" s="89"/>
      <c r="AK90" s="89">
        <v>0</v>
      </c>
      <c r="AL90" s="154">
        <f t="shared" si="47"/>
        <v>20.205498008027259</v>
      </c>
      <c r="AM90" s="297" t="s">
        <v>367</v>
      </c>
      <c r="AN90" s="121"/>
      <c r="AO90" s="192" t="s">
        <v>242</v>
      </c>
      <c r="AP90" s="85">
        <v>20.256410256410255</v>
      </c>
      <c r="AQ90" s="187"/>
      <c r="AR90" s="120"/>
      <c r="AX90" s="44" t="s">
        <v>146</v>
      </c>
      <c r="AY90" s="73">
        <f>SUM(AG76:AG113)</f>
        <v>0</v>
      </c>
    </row>
    <row r="91" spans="1:51" ht="24" thickBot="1">
      <c r="A91" s="121"/>
      <c r="B91" s="303"/>
      <c r="C91" s="85">
        <v>16</v>
      </c>
      <c r="D91" s="85" t="s">
        <v>508</v>
      </c>
      <c r="E91" s="151" t="s">
        <v>148</v>
      </c>
      <c r="F91" s="85">
        <f t="shared" si="48"/>
        <v>1</v>
      </c>
      <c r="G91" s="85">
        <v>0</v>
      </c>
      <c r="H91" s="85">
        <v>0</v>
      </c>
      <c r="I91" s="85">
        <v>0</v>
      </c>
      <c r="J91" s="85">
        <v>0</v>
      </c>
      <c r="K91" s="85">
        <v>6.1</v>
      </c>
      <c r="L91" s="85">
        <v>0</v>
      </c>
      <c r="M91" s="85">
        <v>0</v>
      </c>
      <c r="N91" s="85">
        <v>0</v>
      </c>
      <c r="O91" s="85">
        <v>0</v>
      </c>
      <c r="P91" s="85">
        <v>0</v>
      </c>
      <c r="Q91" s="85">
        <v>0</v>
      </c>
      <c r="R91" s="85">
        <v>0</v>
      </c>
      <c r="S91" s="85">
        <v>0</v>
      </c>
      <c r="T91" s="85">
        <f t="shared" si="36"/>
        <v>6.1</v>
      </c>
      <c r="U91" s="91"/>
      <c r="V91" s="89">
        <f t="shared" si="37"/>
        <v>0.6634500256721434</v>
      </c>
      <c r="W91" s="89">
        <f t="shared" si="33"/>
        <v>0</v>
      </c>
      <c r="X91" s="89">
        <f t="shared" si="38"/>
        <v>0</v>
      </c>
      <c r="Y91" s="89">
        <f t="shared" si="46"/>
        <v>0</v>
      </c>
      <c r="Z91" s="89">
        <f t="shared" si="34"/>
        <v>0</v>
      </c>
      <c r="AA91" s="89">
        <f t="shared" si="39"/>
        <v>0</v>
      </c>
      <c r="AB91" s="89">
        <f t="shared" si="35"/>
        <v>12.731072172619047</v>
      </c>
      <c r="AC91" s="89">
        <f t="shared" si="40"/>
        <v>2.7224430964131034</v>
      </c>
      <c r="AD91" s="89">
        <f t="shared" si="41"/>
        <v>0</v>
      </c>
      <c r="AE91" s="89">
        <f t="shared" si="42"/>
        <v>0</v>
      </c>
      <c r="AF91" s="89">
        <f t="shared" si="43"/>
        <v>0</v>
      </c>
      <c r="AG91" s="89">
        <f t="shared" si="44"/>
        <v>0</v>
      </c>
      <c r="AH91" s="89">
        <f t="shared" si="45"/>
        <v>0</v>
      </c>
      <c r="AI91" s="89">
        <v>0</v>
      </c>
      <c r="AJ91" s="89"/>
      <c r="AK91" s="89">
        <v>0</v>
      </c>
      <c r="AL91" s="154">
        <f t="shared" si="47"/>
        <v>16.116965294704293</v>
      </c>
      <c r="AM91" s="297"/>
      <c r="AN91" s="121"/>
      <c r="AO91" s="192" t="s">
        <v>243</v>
      </c>
      <c r="AP91" s="85">
        <v>10.588235294117647</v>
      </c>
      <c r="AQ91" s="187"/>
      <c r="AR91" s="120"/>
      <c r="AX91" s="44" t="s">
        <v>285</v>
      </c>
      <c r="AY91" s="50">
        <f>SUM(AH76:AH113)</f>
        <v>0</v>
      </c>
    </row>
    <row r="92" spans="1:51" ht="24" thickTop="1">
      <c r="A92" s="121"/>
      <c r="B92" s="303"/>
      <c r="C92" s="85">
        <v>17</v>
      </c>
      <c r="D92" s="85" t="s">
        <v>509</v>
      </c>
      <c r="E92" s="151" t="s">
        <v>153</v>
      </c>
      <c r="F92" s="85">
        <f t="shared" si="48"/>
        <v>1</v>
      </c>
      <c r="G92" s="85">
        <v>0</v>
      </c>
      <c r="H92" s="85">
        <v>0</v>
      </c>
      <c r="I92" s="85">
        <v>0</v>
      </c>
      <c r="J92" s="85">
        <v>0</v>
      </c>
      <c r="K92" s="85">
        <f>AP94*AP82</f>
        <v>23.699999999999996</v>
      </c>
      <c r="L92" s="85">
        <v>0</v>
      </c>
      <c r="M92" s="85">
        <v>0</v>
      </c>
      <c r="N92" s="85">
        <v>0</v>
      </c>
      <c r="O92" s="85">
        <v>0</v>
      </c>
      <c r="P92" s="85">
        <v>0</v>
      </c>
      <c r="Q92" s="85">
        <v>0</v>
      </c>
      <c r="R92" s="85">
        <v>0</v>
      </c>
      <c r="S92" s="85">
        <v>0</v>
      </c>
      <c r="T92" s="85">
        <f t="shared" si="36"/>
        <v>23.699999999999996</v>
      </c>
      <c r="U92" s="91"/>
      <c r="V92" s="89">
        <f t="shared" si="37"/>
        <v>2.5776664931852125</v>
      </c>
      <c r="W92" s="89">
        <f t="shared" si="33"/>
        <v>0</v>
      </c>
      <c r="X92" s="89">
        <f t="shared" si="38"/>
        <v>0</v>
      </c>
      <c r="Y92" s="89">
        <f t="shared" si="46"/>
        <v>0</v>
      </c>
      <c r="Z92" s="89">
        <f t="shared" si="34"/>
        <v>0</v>
      </c>
      <c r="AA92" s="89">
        <f t="shared" si="39"/>
        <v>0</v>
      </c>
      <c r="AB92" s="89">
        <f t="shared" si="35"/>
        <v>49.463345982142847</v>
      </c>
      <c r="AC92" s="89">
        <f t="shared" si="40"/>
        <v>10.577360882785335</v>
      </c>
      <c r="AD92" s="89">
        <f t="shared" si="41"/>
        <v>43.733048082721126</v>
      </c>
      <c r="AE92" s="89">
        <f t="shared" si="42"/>
        <v>0</v>
      </c>
      <c r="AF92" s="89">
        <f t="shared" si="43"/>
        <v>0</v>
      </c>
      <c r="AG92" s="89">
        <f t="shared" si="44"/>
        <v>0</v>
      </c>
      <c r="AH92" s="89">
        <f t="shared" si="45"/>
        <v>0</v>
      </c>
      <c r="AI92" s="89">
        <v>0</v>
      </c>
      <c r="AJ92" s="89"/>
      <c r="AK92" s="89">
        <v>0</v>
      </c>
      <c r="AL92" s="154">
        <f t="shared" si="47"/>
        <v>106.35142144083451</v>
      </c>
      <c r="AM92" s="297"/>
      <c r="AN92" s="121"/>
      <c r="AO92" s="192" t="s">
        <v>244</v>
      </c>
      <c r="AP92" s="85">
        <v>6.4423076923076925</v>
      </c>
      <c r="AQ92" s="187"/>
      <c r="AR92" s="120"/>
      <c r="AX92" s="74"/>
      <c r="AY92" s="75">
        <f>SUM(AY76:AY91)</f>
        <v>2609.7274126813136</v>
      </c>
    </row>
    <row r="93" spans="1:51" ht="23.25">
      <c r="A93" s="121"/>
      <c r="B93" s="303"/>
      <c r="C93" s="85">
        <v>19</v>
      </c>
      <c r="D93" s="85" t="s">
        <v>510</v>
      </c>
      <c r="E93" s="151" t="s">
        <v>148</v>
      </c>
      <c r="F93" s="85">
        <f t="shared" si="48"/>
        <v>1</v>
      </c>
      <c r="G93" s="85">
        <v>0</v>
      </c>
      <c r="H93" s="85">
        <v>0</v>
      </c>
      <c r="I93" s="85">
        <v>0</v>
      </c>
      <c r="J93" s="85">
        <v>0</v>
      </c>
      <c r="K93" s="85">
        <v>47</v>
      </c>
      <c r="L93" s="85">
        <v>0</v>
      </c>
      <c r="M93" s="85">
        <v>0</v>
      </c>
      <c r="N93" s="85">
        <v>0</v>
      </c>
      <c r="O93" s="85">
        <v>0</v>
      </c>
      <c r="P93" s="85">
        <v>0</v>
      </c>
      <c r="Q93" s="85">
        <v>0</v>
      </c>
      <c r="R93" s="85">
        <v>0</v>
      </c>
      <c r="S93" s="85">
        <v>0</v>
      </c>
      <c r="T93" s="85">
        <f t="shared" si="36"/>
        <v>47</v>
      </c>
      <c r="U93" s="91"/>
      <c r="V93" s="89">
        <f t="shared" si="37"/>
        <v>5.11182806665422</v>
      </c>
      <c r="W93" s="89">
        <f t="shared" si="33"/>
        <v>0</v>
      </c>
      <c r="X93" s="89">
        <f t="shared" si="38"/>
        <v>0</v>
      </c>
      <c r="Y93" s="89">
        <f t="shared" si="46"/>
        <v>0</v>
      </c>
      <c r="Z93" s="89">
        <f t="shared" si="34"/>
        <v>0</v>
      </c>
      <c r="AA93" s="89">
        <f t="shared" si="39"/>
        <v>0</v>
      </c>
      <c r="AB93" s="89">
        <f t="shared" si="35"/>
        <v>98.091867559523806</v>
      </c>
      <c r="AC93" s="89">
        <f t="shared" si="40"/>
        <v>20.976200906789487</v>
      </c>
      <c r="AD93" s="89">
        <f t="shared" si="41"/>
        <v>0</v>
      </c>
      <c r="AE93" s="89">
        <f t="shared" si="42"/>
        <v>0</v>
      </c>
      <c r="AF93" s="89">
        <f t="shared" si="43"/>
        <v>0</v>
      </c>
      <c r="AG93" s="89">
        <f t="shared" si="44"/>
        <v>0</v>
      </c>
      <c r="AH93" s="89">
        <f t="shared" si="45"/>
        <v>0</v>
      </c>
      <c r="AI93" s="89">
        <v>0</v>
      </c>
      <c r="AJ93" s="89"/>
      <c r="AK93" s="89">
        <v>0</v>
      </c>
      <c r="AL93" s="154">
        <f t="shared" si="47"/>
        <v>124.17989653296752</v>
      </c>
      <c r="AM93" s="297"/>
      <c r="AN93" s="121"/>
      <c r="AO93" s="195" t="s">
        <v>459</v>
      </c>
      <c r="AP93" s="3"/>
      <c r="AQ93" s="125"/>
      <c r="AR93" s="120"/>
    </row>
    <row r="94" spans="1:51" ht="23.25">
      <c r="A94" s="121"/>
      <c r="B94" s="303"/>
      <c r="C94" s="85">
        <v>20</v>
      </c>
      <c r="D94" s="85" t="s">
        <v>511</v>
      </c>
      <c r="E94" s="151" t="s">
        <v>52</v>
      </c>
      <c r="F94" s="85">
        <f t="shared" si="48"/>
        <v>1</v>
      </c>
      <c r="G94" s="85">
        <v>30</v>
      </c>
      <c r="H94" s="85">
        <v>0</v>
      </c>
      <c r="I94" s="85">
        <v>0</v>
      </c>
      <c r="J94" s="85">
        <v>60</v>
      </c>
      <c r="K94" s="85">
        <v>0</v>
      </c>
      <c r="L94" s="85">
        <v>0</v>
      </c>
      <c r="M94" s="85">
        <v>0</v>
      </c>
      <c r="N94" s="85">
        <v>0</v>
      </c>
      <c r="O94" s="85">
        <v>0</v>
      </c>
      <c r="P94" s="85">
        <v>0</v>
      </c>
      <c r="Q94" s="85">
        <v>0</v>
      </c>
      <c r="R94" s="85">
        <v>0</v>
      </c>
      <c r="S94" s="85">
        <v>0</v>
      </c>
      <c r="T94" s="85">
        <f t="shared" si="36"/>
        <v>60</v>
      </c>
      <c r="U94" s="91"/>
      <c r="V94" s="89">
        <f t="shared" si="37"/>
        <v>6.5257379574309189</v>
      </c>
      <c r="W94" s="89">
        <f t="shared" si="33"/>
        <v>0</v>
      </c>
      <c r="X94" s="89">
        <f t="shared" si="38"/>
        <v>0</v>
      </c>
      <c r="Y94" s="89">
        <f t="shared" si="46"/>
        <v>50.212500000000006</v>
      </c>
      <c r="Z94" s="89">
        <f t="shared" si="34"/>
        <v>0</v>
      </c>
      <c r="AA94" s="89">
        <f t="shared" si="39"/>
        <v>0</v>
      </c>
      <c r="AB94" s="89">
        <f t="shared" si="35"/>
        <v>0</v>
      </c>
      <c r="AC94" s="89">
        <f t="shared" si="40"/>
        <v>0</v>
      </c>
      <c r="AD94" s="89">
        <f t="shared" si="41"/>
        <v>0</v>
      </c>
      <c r="AE94" s="89">
        <f t="shared" si="42"/>
        <v>0</v>
      </c>
      <c r="AF94" s="89">
        <f t="shared" si="43"/>
        <v>0</v>
      </c>
      <c r="AG94" s="89">
        <f t="shared" si="44"/>
        <v>0</v>
      </c>
      <c r="AH94" s="89">
        <f t="shared" si="45"/>
        <v>0</v>
      </c>
      <c r="AI94" s="89">
        <v>0</v>
      </c>
      <c r="AJ94" s="89"/>
      <c r="AK94" s="89">
        <v>0</v>
      </c>
      <c r="AL94" s="154">
        <f t="shared" si="47"/>
        <v>56.738237957430925</v>
      </c>
      <c r="AM94" s="297"/>
      <c r="AN94" s="121"/>
      <c r="AO94" s="192" t="s">
        <v>249</v>
      </c>
      <c r="AP94" s="85">
        <f>23.7/AP82</f>
        <v>1.17</v>
      </c>
      <c r="AQ94" s="125"/>
      <c r="AR94" s="120"/>
    </row>
    <row r="95" spans="1:51" ht="23.25">
      <c r="A95" s="121"/>
      <c r="B95" s="303"/>
      <c r="C95" s="85">
        <v>21</v>
      </c>
      <c r="D95" s="85" t="s">
        <v>512</v>
      </c>
      <c r="E95" s="151" t="s">
        <v>152</v>
      </c>
      <c r="F95" s="85">
        <f t="shared" si="48"/>
        <v>1</v>
      </c>
      <c r="G95" s="85">
        <v>30</v>
      </c>
      <c r="H95" s="85">
        <v>0</v>
      </c>
      <c r="I95" s="85">
        <v>40</v>
      </c>
      <c r="J95" s="85">
        <v>40</v>
      </c>
      <c r="K95" s="85">
        <v>5</v>
      </c>
      <c r="L95" s="85">
        <v>0</v>
      </c>
      <c r="M95" s="85">
        <v>0</v>
      </c>
      <c r="N95" s="85">
        <v>0</v>
      </c>
      <c r="O95" s="85">
        <v>0</v>
      </c>
      <c r="P95" s="85">
        <v>0</v>
      </c>
      <c r="Q95" s="85">
        <v>0</v>
      </c>
      <c r="R95" s="85">
        <v>0</v>
      </c>
      <c r="S95" s="85">
        <v>0</v>
      </c>
      <c r="T95" s="85">
        <f t="shared" si="36"/>
        <v>85</v>
      </c>
      <c r="U95" s="91"/>
      <c r="V95" s="89">
        <f t="shared" si="37"/>
        <v>9.2447954396938012</v>
      </c>
      <c r="W95" s="89">
        <f t="shared" si="33"/>
        <v>0</v>
      </c>
      <c r="X95" s="89">
        <f t="shared" si="38"/>
        <v>43.066666666666663</v>
      </c>
      <c r="Y95" s="89">
        <f t="shared" si="46"/>
        <v>33.475000000000009</v>
      </c>
      <c r="Z95" s="89">
        <f t="shared" si="34"/>
        <v>16.556485704992671</v>
      </c>
      <c r="AA95" s="89">
        <f t="shared" si="39"/>
        <v>0</v>
      </c>
      <c r="AB95" s="89">
        <f t="shared" si="35"/>
        <v>10.435305059523809</v>
      </c>
      <c r="AC95" s="89">
        <f t="shared" si="40"/>
        <v>0</v>
      </c>
      <c r="AD95" s="89">
        <f t="shared" si="41"/>
        <v>0</v>
      </c>
      <c r="AE95" s="89">
        <f t="shared" si="42"/>
        <v>0</v>
      </c>
      <c r="AF95" s="89">
        <f t="shared" si="43"/>
        <v>0</v>
      </c>
      <c r="AG95" s="89">
        <f t="shared" si="44"/>
        <v>0</v>
      </c>
      <c r="AH95" s="89">
        <f t="shared" si="45"/>
        <v>0</v>
      </c>
      <c r="AI95" s="89">
        <f>inputs!$E$48*F95</f>
        <v>46.476100000000002</v>
      </c>
      <c r="AJ95" s="89"/>
      <c r="AK95" s="89">
        <v>0</v>
      </c>
      <c r="AL95" s="154">
        <f t="shared" si="47"/>
        <v>159.25435287087697</v>
      </c>
      <c r="AM95" s="297"/>
      <c r="AN95" s="121"/>
      <c r="AO95" s="192" t="s">
        <v>250</v>
      </c>
      <c r="AP95" s="85">
        <v>2.89</v>
      </c>
      <c r="AQ95" s="125"/>
      <c r="AR95" s="120"/>
    </row>
    <row r="96" spans="1:51" ht="23.25">
      <c r="A96" s="121"/>
      <c r="B96" s="303"/>
      <c r="C96" s="85">
        <v>23</v>
      </c>
      <c r="D96" s="85" t="s">
        <v>95</v>
      </c>
      <c r="E96" s="151" t="s">
        <v>153</v>
      </c>
      <c r="F96" s="85">
        <f t="shared" si="48"/>
        <v>1</v>
      </c>
      <c r="G96" s="85">
        <v>0</v>
      </c>
      <c r="H96" s="85">
        <v>0</v>
      </c>
      <c r="I96" s="85">
        <v>0</v>
      </c>
      <c r="J96" s="85">
        <v>0</v>
      </c>
      <c r="K96" s="85">
        <v>34.5</v>
      </c>
      <c r="L96" s="85">
        <v>0</v>
      </c>
      <c r="M96" s="85">
        <v>0</v>
      </c>
      <c r="N96" s="85">
        <v>0</v>
      </c>
      <c r="O96" s="85">
        <v>0</v>
      </c>
      <c r="P96" s="85">
        <v>0</v>
      </c>
      <c r="Q96" s="85">
        <v>0</v>
      </c>
      <c r="R96" s="85">
        <v>0</v>
      </c>
      <c r="S96" s="85">
        <v>0</v>
      </c>
      <c r="T96" s="85">
        <f t="shared" si="36"/>
        <v>34.5</v>
      </c>
      <c r="U96" s="91"/>
      <c r="V96" s="89">
        <f t="shared" si="37"/>
        <v>3.7522993255227783</v>
      </c>
      <c r="W96" s="89">
        <f t="shared" si="33"/>
        <v>0</v>
      </c>
      <c r="X96" s="89">
        <f t="shared" si="38"/>
        <v>0</v>
      </c>
      <c r="Y96" s="89">
        <f t="shared" si="46"/>
        <v>0</v>
      </c>
      <c r="Z96" s="89">
        <f t="shared" si="34"/>
        <v>0</v>
      </c>
      <c r="AA96" s="89">
        <f t="shared" si="39"/>
        <v>0</v>
      </c>
      <c r="AB96" s="89">
        <f t="shared" si="35"/>
        <v>72.003604910714287</v>
      </c>
      <c r="AC96" s="89">
        <f t="shared" si="40"/>
        <v>15.39742406987739</v>
      </c>
      <c r="AD96" s="89">
        <f t="shared" si="41"/>
        <v>63.66203201915102</v>
      </c>
      <c r="AE96" s="89">
        <f t="shared" si="42"/>
        <v>0</v>
      </c>
      <c r="AF96" s="89">
        <f t="shared" si="43"/>
        <v>0</v>
      </c>
      <c r="AG96" s="89">
        <f t="shared" si="44"/>
        <v>0</v>
      </c>
      <c r="AH96" s="89">
        <f t="shared" si="45"/>
        <v>0</v>
      </c>
      <c r="AI96" s="89">
        <v>0</v>
      </c>
      <c r="AJ96" s="89"/>
      <c r="AK96" s="89">
        <v>0</v>
      </c>
      <c r="AL96" s="154">
        <f t="shared" si="47"/>
        <v>154.81536032526549</v>
      </c>
      <c r="AM96" s="297"/>
      <c r="AN96" s="121"/>
      <c r="AO96" s="193" t="s">
        <v>361</v>
      </c>
      <c r="AP96" s="87">
        <v>1.04</v>
      </c>
      <c r="AQ96" s="128"/>
      <c r="AR96" s="120"/>
    </row>
    <row r="97" spans="1:44" ht="23.25">
      <c r="A97" s="121"/>
      <c r="B97" s="303"/>
      <c r="C97" s="85">
        <v>25</v>
      </c>
      <c r="D97" s="85" t="s">
        <v>513</v>
      </c>
      <c r="E97" s="151" t="s">
        <v>153</v>
      </c>
      <c r="F97" s="85">
        <f t="shared" si="48"/>
        <v>1</v>
      </c>
      <c r="G97" s="85">
        <v>0</v>
      </c>
      <c r="H97" s="85">
        <v>0</v>
      </c>
      <c r="I97" s="85">
        <v>0</v>
      </c>
      <c r="J97" s="85">
        <v>0</v>
      </c>
      <c r="K97" s="85">
        <v>10.4</v>
      </c>
      <c r="L97" s="85">
        <v>0</v>
      </c>
      <c r="M97" s="85">
        <v>0</v>
      </c>
      <c r="N97" s="85">
        <v>0</v>
      </c>
      <c r="O97" s="85">
        <v>0</v>
      </c>
      <c r="P97" s="85">
        <v>0</v>
      </c>
      <c r="Q97" s="85">
        <v>0</v>
      </c>
      <c r="R97" s="85">
        <v>0</v>
      </c>
      <c r="S97" s="85">
        <v>0</v>
      </c>
      <c r="T97" s="85">
        <f t="shared" si="36"/>
        <v>10.4</v>
      </c>
      <c r="U97" s="91"/>
      <c r="V97" s="89">
        <f t="shared" si="37"/>
        <v>1.1311279126213594</v>
      </c>
      <c r="W97" s="89">
        <f t="shared" si="33"/>
        <v>0</v>
      </c>
      <c r="X97" s="89">
        <f t="shared" si="38"/>
        <v>0</v>
      </c>
      <c r="Y97" s="89">
        <f t="shared" si="46"/>
        <v>0</v>
      </c>
      <c r="Z97" s="89">
        <f t="shared" si="34"/>
        <v>0</v>
      </c>
      <c r="AA97" s="89">
        <f t="shared" si="39"/>
        <v>0</v>
      </c>
      <c r="AB97" s="89">
        <f t="shared" si="35"/>
        <v>21.705434523809526</v>
      </c>
      <c r="AC97" s="89">
        <f t="shared" si="40"/>
        <v>4.6415423283108659</v>
      </c>
      <c r="AD97" s="89">
        <f t="shared" si="41"/>
        <v>19.190873420265817</v>
      </c>
      <c r="AE97" s="89">
        <f t="shared" si="42"/>
        <v>0</v>
      </c>
      <c r="AF97" s="89">
        <f t="shared" si="43"/>
        <v>0</v>
      </c>
      <c r="AG97" s="89">
        <f t="shared" si="44"/>
        <v>0</v>
      </c>
      <c r="AH97" s="89">
        <f t="shared" si="45"/>
        <v>0</v>
      </c>
      <c r="AI97" s="89">
        <v>0</v>
      </c>
      <c r="AJ97" s="89"/>
      <c r="AK97" s="89">
        <v>0</v>
      </c>
      <c r="AL97" s="175">
        <f t="shared" si="47"/>
        <v>46.668978185007568</v>
      </c>
      <c r="AM97" s="298" t="s">
        <v>368</v>
      </c>
      <c r="AN97" s="121"/>
      <c r="AO97" s="121"/>
      <c r="AP97" s="121"/>
      <c r="AQ97" s="121"/>
      <c r="AR97" s="121"/>
    </row>
    <row r="98" spans="1:44" ht="23.25">
      <c r="A98" s="121"/>
      <c r="B98" s="303"/>
      <c r="C98" s="85">
        <v>27</v>
      </c>
      <c r="D98" s="85" t="s">
        <v>515</v>
      </c>
      <c r="E98" s="151" t="s">
        <v>52</v>
      </c>
      <c r="F98" s="85">
        <f t="shared" si="48"/>
        <v>1</v>
      </c>
      <c r="G98" s="85">
        <v>5</v>
      </c>
      <c r="H98" s="85">
        <v>0</v>
      </c>
      <c r="I98" s="85">
        <v>0</v>
      </c>
      <c r="J98" s="85">
        <v>10</v>
      </c>
      <c r="K98" s="85">
        <v>10</v>
      </c>
      <c r="L98" s="85">
        <v>0</v>
      </c>
      <c r="M98" s="85">
        <v>0</v>
      </c>
      <c r="N98" s="85">
        <v>0</v>
      </c>
      <c r="O98" s="85">
        <v>0</v>
      </c>
      <c r="P98" s="85">
        <v>0</v>
      </c>
      <c r="Q98" s="85">
        <v>0</v>
      </c>
      <c r="R98" s="85">
        <v>0</v>
      </c>
      <c r="S98" s="85">
        <v>0</v>
      </c>
      <c r="T98" s="85">
        <f t="shared" si="36"/>
        <v>20</v>
      </c>
      <c r="U98" s="91"/>
      <c r="V98" s="89">
        <f t="shared" si="37"/>
        <v>2.1752459858103061</v>
      </c>
      <c r="W98" s="89">
        <f t="shared" si="33"/>
        <v>0</v>
      </c>
      <c r="X98" s="89">
        <f t="shared" si="38"/>
        <v>0</v>
      </c>
      <c r="Y98" s="89">
        <f t="shared" si="46"/>
        <v>8.3687500000000021</v>
      </c>
      <c r="Z98" s="89">
        <f t="shared" si="34"/>
        <v>0</v>
      </c>
      <c r="AA98" s="89">
        <f t="shared" si="39"/>
        <v>0</v>
      </c>
      <c r="AB98" s="89">
        <f t="shared" si="35"/>
        <v>20.870610119047619</v>
      </c>
      <c r="AC98" s="89">
        <f t="shared" si="40"/>
        <v>0</v>
      </c>
      <c r="AD98" s="89">
        <f t="shared" si="41"/>
        <v>0</v>
      </c>
      <c r="AE98" s="89">
        <f t="shared" si="42"/>
        <v>0</v>
      </c>
      <c r="AF98" s="89">
        <f t="shared" si="43"/>
        <v>0</v>
      </c>
      <c r="AG98" s="89">
        <f t="shared" si="44"/>
        <v>0</v>
      </c>
      <c r="AH98" s="89">
        <f t="shared" si="45"/>
        <v>0</v>
      </c>
      <c r="AI98" s="89">
        <v>0</v>
      </c>
      <c r="AJ98" s="89"/>
      <c r="AK98" s="89">
        <v>0</v>
      </c>
      <c r="AL98" s="175">
        <f t="shared" si="47"/>
        <v>31.414606104857928</v>
      </c>
      <c r="AM98" s="298"/>
      <c r="AN98" s="121"/>
      <c r="AO98" s="121"/>
      <c r="AP98" s="121"/>
      <c r="AQ98" s="121"/>
      <c r="AR98" s="121"/>
    </row>
    <row r="99" spans="1:44" ht="23.25">
      <c r="A99" s="121"/>
      <c r="B99" s="303"/>
      <c r="C99" s="85">
        <v>28</v>
      </c>
      <c r="D99" s="85" t="s">
        <v>514</v>
      </c>
      <c r="E99" s="151" t="s">
        <v>153</v>
      </c>
      <c r="F99" s="85">
        <f t="shared" si="48"/>
        <v>1</v>
      </c>
      <c r="G99" s="85">
        <v>0</v>
      </c>
      <c r="H99" s="85">
        <v>0</v>
      </c>
      <c r="I99" s="85">
        <v>0</v>
      </c>
      <c r="J99" s="85">
        <v>0</v>
      </c>
      <c r="K99" s="85">
        <f>AP95*AP83</f>
        <v>30.6</v>
      </c>
      <c r="L99" s="85">
        <v>0</v>
      </c>
      <c r="M99" s="85">
        <v>0</v>
      </c>
      <c r="N99" s="85">
        <v>0</v>
      </c>
      <c r="O99" s="85">
        <v>0</v>
      </c>
      <c r="P99" s="85">
        <v>0</v>
      </c>
      <c r="Q99" s="85">
        <v>0</v>
      </c>
      <c r="R99" s="85">
        <v>0</v>
      </c>
      <c r="S99" s="85">
        <v>0</v>
      </c>
      <c r="T99" s="85">
        <f t="shared" si="36"/>
        <v>30.6</v>
      </c>
      <c r="U99" s="91"/>
      <c r="V99" s="89">
        <f t="shared" si="37"/>
        <v>3.3281263582897687</v>
      </c>
      <c r="W99" s="89">
        <f t="shared" si="33"/>
        <v>0</v>
      </c>
      <c r="X99" s="89">
        <f t="shared" si="38"/>
        <v>0</v>
      </c>
      <c r="Y99" s="89">
        <f t="shared" si="46"/>
        <v>0</v>
      </c>
      <c r="Z99" s="89">
        <f t="shared" si="34"/>
        <v>0</v>
      </c>
      <c r="AA99" s="89">
        <f t="shared" si="39"/>
        <v>0</v>
      </c>
      <c r="AB99" s="89">
        <f t="shared" si="35"/>
        <v>63.864066964285719</v>
      </c>
      <c r="AC99" s="89">
        <f t="shared" si="40"/>
        <v>13.656845696760817</v>
      </c>
      <c r="AD99" s="89">
        <f t="shared" si="41"/>
        <v>56.465454486551344</v>
      </c>
      <c r="AE99" s="89">
        <f t="shared" si="42"/>
        <v>0</v>
      </c>
      <c r="AF99" s="89">
        <f t="shared" si="43"/>
        <v>0</v>
      </c>
      <c r="AG99" s="89">
        <f t="shared" si="44"/>
        <v>0</v>
      </c>
      <c r="AH99" s="89">
        <f t="shared" si="45"/>
        <v>0</v>
      </c>
      <c r="AI99" s="89">
        <v>0</v>
      </c>
      <c r="AJ99" s="89"/>
      <c r="AK99" s="89">
        <v>0</v>
      </c>
      <c r="AL99" s="175">
        <f t="shared" si="47"/>
        <v>137.31449350588764</v>
      </c>
      <c r="AM99" s="298"/>
      <c r="AN99" s="121"/>
      <c r="AO99" s="121"/>
      <c r="AP99" s="121"/>
      <c r="AQ99" s="121"/>
      <c r="AR99" s="121"/>
    </row>
    <row r="100" spans="1:44" ht="23.25">
      <c r="A100" s="121"/>
      <c r="B100" s="303"/>
      <c r="C100" s="85">
        <v>30</v>
      </c>
      <c r="D100" s="85" t="s">
        <v>516</v>
      </c>
      <c r="E100" s="151" t="s">
        <v>148</v>
      </c>
      <c r="F100" s="85">
        <f t="shared" si="48"/>
        <v>1</v>
      </c>
      <c r="G100" s="85">
        <v>15</v>
      </c>
      <c r="H100" s="85">
        <v>0</v>
      </c>
      <c r="I100" s="85">
        <v>0</v>
      </c>
      <c r="J100" s="85">
        <v>0</v>
      </c>
      <c r="K100" s="85">
        <f>5.6</f>
        <v>5.6</v>
      </c>
      <c r="L100" s="85">
        <v>0</v>
      </c>
      <c r="M100" s="85">
        <v>0</v>
      </c>
      <c r="N100" s="85">
        <v>0</v>
      </c>
      <c r="O100" s="85">
        <v>0</v>
      </c>
      <c r="P100" s="85">
        <v>0</v>
      </c>
      <c r="Q100" s="85">
        <v>0</v>
      </c>
      <c r="R100" s="85">
        <v>0</v>
      </c>
      <c r="S100" s="85">
        <v>0</v>
      </c>
      <c r="T100" s="85">
        <f t="shared" si="36"/>
        <v>5.6</v>
      </c>
      <c r="U100" s="91"/>
      <c r="V100" s="89">
        <f t="shared" si="37"/>
        <v>0.60906887602688575</v>
      </c>
      <c r="W100" s="89">
        <f t="shared" si="33"/>
        <v>0</v>
      </c>
      <c r="X100" s="89">
        <f t="shared" si="38"/>
        <v>0</v>
      </c>
      <c r="Y100" s="89">
        <f t="shared" si="46"/>
        <v>0</v>
      </c>
      <c r="Z100" s="89">
        <f t="shared" si="34"/>
        <v>0</v>
      </c>
      <c r="AA100" s="89">
        <f t="shared" si="39"/>
        <v>0</v>
      </c>
      <c r="AB100" s="89">
        <f t="shared" si="35"/>
        <v>11.687541666666666</v>
      </c>
      <c r="AC100" s="89">
        <f t="shared" si="40"/>
        <v>2.4992920229366198</v>
      </c>
      <c r="AD100" s="89">
        <f t="shared" si="41"/>
        <v>0</v>
      </c>
      <c r="AE100" s="89">
        <f t="shared" si="42"/>
        <v>0</v>
      </c>
      <c r="AF100" s="89">
        <f t="shared" si="43"/>
        <v>0</v>
      </c>
      <c r="AG100" s="89">
        <f t="shared" si="44"/>
        <v>0</v>
      </c>
      <c r="AH100" s="89">
        <f t="shared" si="45"/>
        <v>0</v>
      </c>
      <c r="AI100" s="89">
        <v>0</v>
      </c>
      <c r="AJ100" s="89"/>
      <c r="AK100" s="89">
        <v>0</v>
      </c>
      <c r="AL100" s="175">
        <f t="shared" si="47"/>
        <v>14.795902565630172</v>
      </c>
      <c r="AM100" s="298"/>
      <c r="AN100" s="121"/>
      <c r="AO100" s="121"/>
      <c r="AP100" s="121"/>
      <c r="AQ100" s="121"/>
      <c r="AR100" s="121"/>
    </row>
    <row r="101" spans="1:44" ht="18" customHeight="1">
      <c r="A101" s="121"/>
      <c r="B101" s="303"/>
      <c r="C101" s="85">
        <v>32</v>
      </c>
      <c r="D101" s="85" t="s">
        <v>517</v>
      </c>
      <c r="E101" s="151" t="s">
        <v>156</v>
      </c>
      <c r="F101" s="85">
        <f t="shared" si="48"/>
        <v>1</v>
      </c>
      <c r="G101" s="85">
        <v>0</v>
      </c>
      <c r="H101" s="85">
        <v>0</v>
      </c>
      <c r="I101" s="85">
        <v>0</v>
      </c>
      <c r="J101" s="85">
        <v>0</v>
      </c>
      <c r="K101" s="85">
        <f>(AP88*AP96)+5</f>
        <v>11.7</v>
      </c>
      <c r="L101" s="85">
        <v>0</v>
      </c>
      <c r="M101" s="85">
        <v>0</v>
      </c>
      <c r="N101" s="85">
        <v>0</v>
      </c>
      <c r="O101" s="85">
        <v>0</v>
      </c>
      <c r="P101" s="85">
        <v>0</v>
      </c>
      <c r="Q101" s="85">
        <v>0</v>
      </c>
      <c r="R101" s="85">
        <v>0</v>
      </c>
      <c r="S101" s="85">
        <v>0</v>
      </c>
      <c r="T101" s="85">
        <f t="shared" si="36"/>
        <v>11.7</v>
      </c>
      <c r="U101" s="91"/>
      <c r="V101" s="89">
        <f t="shared" si="37"/>
        <v>1.272518901699029</v>
      </c>
      <c r="W101" s="89">
        <f t="shared" si="33"/>
        <v>0</v>
      </c>
      <c r="X101" s="89">
        <f t="shared" si="38"/>
        <v>0</v>
      </c>
      <c r="Y101" s="89">
        <f t="shared" si="46"/>
        <v>0</v>
      </c>
      <c r="Z101" s="89">
        <f t="shared" si="34"/>
        <v>0</v>
      </c>
      <c r="AA101" s="89">
        <f t="shared" si="39"/>
        <v>0</v>
      </c>
      <c r="AB101" s="89">
        <f t="shared" si="35"/>
        <v>24.418613839285712</v>
      </c>
      <c r="AC101" s="89">
        <f t="shared" si="40"/>
        <v>0</v>
      </c>
      <c r="AD101" s="89">
        <f t="shared" si="41"/>
        <v>21.589732597799042</v>
      </c>
      <c r="AE101" s="89">
        <f t="shared" si="42"/>
        <v>0</v>
      </c>
      <c r="AF101" s="89">
        <f t="shared" si="43"/>
        <v>0</v>
      </c>
      <c r="AG101" s="89">
        <f t="shared" si="44"/>
        <v>0</v>
      </c>
      <c r="AH101" s="89">
        <f t="shared" si="45"/>
        <v>0</v>
      </c>
      <c r="AI101" s="89">
        <v>0</v>
      </c>
      <c r="AJ101" s="89"/>
      <c r="AK101" s="89">
        <v>0</v>
      </c>
      <c r="AL101" s="175">
        <f t="shared" si="47"/>
        <v>47.280865338783784</v>
      </c>
      <c r="AM101" s="298"/>
      <c r="AN101" s="121"/>
      <c r="AO101" s="121"/>
      <c r="AP101" s="121"/>
      <c r="AQ101" s="121"/>
      <c r="AR101" s="121"/>
    </row>
    <row r="102" spans="1:44" ht="23.25">
      <c r="A102" s="121"/>
      <c r="B102" s="303"/>
      <c r="C102" s="85">
        <v>34</v>
      </c>
      <c r="D102" s="85" t="s">
        <v>518</v>
      </c>
      <c r="E102" s="151" t="s">
        <v>156</v>
      </c>
      <c r="F102" s="85">
        <f t="shared" si="48"/>
        <v>1</v>
      </c>
      <c r="G102" s="85">
        <v>0</v>
      </c>
      <c r="H102" s="85">
        <v>0</v>
      </c>
      <c r="I102" s="85">
        <v>0</v>
      </c>
      <c r="J102" s="85">
        <v>0</v>
      </c>
      <c r="K102" s="85">
        <f>K101</f>
        <v>11.7</v>
      </c>
      <c r="L102" s="85">
        <v>0</v>
      </c>
      <c r="M102" s="85">
        <v>0</v>
      </c>
      <c r="N102" s="85">
        <v>0</v>
      </c>
      <c r="O102" s="85">
        <v>0</v>
      </c>
      <c r="P102" s="85">
        <v>0</v>
      </c>
      <c r="Q102" s="85">
        <v>0</v>
      </c>
      <c r="R102" s="85">
        <v>0</v>
      </c>
      <c r="S102" s="85">
        <v>0</v>
      </c>
      <c r="T102" s="85">
        <f t="shared" si="36"/>
        <v>11.7</v>
      </c>
      <c r="U102" s="91"/>
      <c r="V102" s="89">
        <f t="shared" si="37"/>
        <v>1.272518901699029</v>
      </c>
      <c r="W102" s="89">
        <f t="shared" si="33"/>
        <v>0</v>
      </c>
      <c r="X102" s="89">
        <f t="shared" si="38"/>
        <v>0</v>
      </c>
      <c r="Y102" s="89">
        <f t="shared" si="46"/>
        <v>0</v>
      </c>
      <c r="Z102" s="89">
        <f t="shared" si="34"/>
        <v>0</v>
      </c>
      <c r="AA102" s="89">
        <f t="shared" si="39"/>
        <v>0</v>
      </c>
      <c r="AB102" s="89">
        <f t="shared" si="35"/>
        <v>24.418613839285712</v>
      </c>
      <c r="AC102" s="89">
        <f t="shared" si="40"/>
        <v>0</v>
      </c>
      <c r="AD102" s="89">
        <f t="shared" si="41"/>
        <v>21.589732597799042</v>
      </c>
      <c r="AE102" s="89">
        <f t="shared" si="42"/>
        <v>0</v>
      </c>
      <c r="AF102" s="89">
        <f t="shared" si="43"/>
        <v>0</v>
      </c>
      <c r="AG102" s="89">
        <f t="shared" si="44"/>
        <v>0</v>
      </c>
      <c r="AH102" s="89">
        <f t="shared" si="45"/>
        <v>0</v>
      </c>
      <c r="AI102" s="89">
        <v>0</v>
      </c>
      <c r="AJ102" s="89"/>
      <c r="AK102" s="89">
        <v>0</v>
      </c>
      <c r="AL102" s="175">
        <f t="shared" si="47"/>
        <v>47.280865338783784</v>
      </c>
      <c r="AM102" s="298"/>
      <c r="AN102" s="121"/>
      <c r="AO102" s="121"/>
      <c r="AP102" s="121"/>
      <c r="AQ102" s="121"/>
      <c r="AR102" s="121"/>
    </row>
    <row r="103" spans="1:44" ht="23.25">
      <c r="A103" s="121"/>
      <c r="B103" s="303"/>
      <c r="C103" s="85">
        <v>35</v>
      </c>
      <c r="D103" s="85" t="s">
        <v>519</v>
      </c>
      <c r="E103" s="151" t="s">
        <v>153</v>
      </c>
      <c r="F103" s="85">
        <f>IF($AP$85="failed", 0, 1)</f>
        <v>1</v>
      </c>
      <c r="G103" s="85">
        <v>0</v>
      </c>
      <c r="H103" s="85">
        <v>0</v>
      </c>
      <c r="I103" s="85">
        <v>0</v>
      </c>
      <c r="J103" s="85">
        <v>0</v>
      </c>
      <c r="K103" s="85">
        <v>5</v>
      </c>
      <c r="L103" s="85">
        <v>0</v>
      </c>
      <c r="M103" s="85">
        <v>0</v>
      </c>
      <c r="N103" s="85">
        <v>0</v>
      </c>
      <c r="O103" s="85">
        <v>0</v>
      </c>
      <c r="P103" s="85">
        <v>0</v>
      </c>
      <c r="Q103" s="85">
        <v>0</v>
      </c>
      <c r="R103" s="85">
        <v>0</v>
      </c>
      <c r="S103" s="85">
        <v>0</v>
      </c>
      <c r="T103" s="85">
        <f t="shared" si="36"/>
        <v>5</v>
      </c>
      <c r="U103" s="91"/>
      <c r="V103" s="89">
        <f t="shared" si="37"/>
        <v>0.54381149645257654</v>
      </c>
      <c r="W103" s="89">
        <f t="shared" si="33"/>
        <v>0</v>
      </c>
      <c r="X103" s="89">
        <f t="shared" si="38"/>
        <v>0</v>
      </c>
      <c r="Y103" s="89">
        <f t="shared" si="46"/>
        <v>0</v>
      </c>
      <c r="Z103" s="89">
        <f t="shared" si="34"/>
        <v>0</v>
      </c>
      <c r="AA103" s="89">
        <f t="shared" si="39"/>
        <v>0</v>
      </c>
      <c r="AB103" s="89">
        <f t="shared" si="35"/>
        <v>10.435305059523809</v>
      </c>
      <c r="AC103" s="89">
        <f t="shared" si="40"/>
        <v>2.2315107347648393</v>
      </c>
      <c r="AD103" s="89">
        <f t="shared" si="41"/>
        <v>9.2263814520508731</v>
      </c>
      <c r="AE103" s="89">
        <f t="shared" si="42"/>
        <v>0</v>
      </c>
      <c r="AF103" s="89">
        <f t="shared" si="43"/>
        <v>0</v>
      </c>
      <c r="AG103" s="89">
        <f t="shared" si="44"/>
        <v>0</v>
      </c>
      <c r="AH103" s="89">
        <f t="shared" si="45"/>
        <v>0</v>
      </c>
      <c r="AI103" s="89">
        <v>0</v>
      </c>
      <c r="AJ103" s="89"/>
      <c r="AK103" s="89">
        <v>0</v>
      </c>
      <c r="AL103" s="175">
        <f t="shared" si="47"/>
        <v>22.437008742792099</v>
      </c>
      <c r="AM103" s="298"/>
      <c r="AN103" s="121"/>
      <c r="AO103" s="121"/>
      <c r="AP103" s="121"/>
      <c r="AQ103" s="121"/>
      <c r="AR103" s="121"/>
    </row>
    <row r="104" spans="1:44" ht="23.25">
      <c r="A104" s="121"/>
      <c r="B104" s="303"/>
      <c r="C104" s="85">
        <v>36</v>
      </c>
      <c r="D104" s="85" t="s">
        <v>520</v>
      </c>
      <c r="E104" s="151" t="s">
        <v>156</v>
      </c>
      <c r="F104" s="85">
        <f>IF($AP$87="Cryo DMSO", 0, 1)</f>
        <v>1</v>
      </c>
      <c r="G104" s="85">
        <v>0</v>
      </c>
      <c r="H104" s="85">
        <v>0</v>
      </c>
      <c r="I104" s="85">
        <v>0</v>
      </c>
      <c r="J104" s="85">
        <v>0</v>
      </c>
      <c r="K104" s="85">
        <f>2*K101</f>
        <v>23.4</v>
      </c>
      <c r="L104" s="85">
        <v>0</v>
      </c>
      <c r="M104" s="85">
        <v>0</v>
      </c>
      <c r="N104" s="85">
        <v>0</v>
      </c>
      <c r="O104" s="85">
        <v>0</v>
      </c>
      <c r="P104" s="85">
        <v>0</v>
      </c>
      <c r="Q104" s="85">
        <v>0</v>
      </c>
      <c r="R104" s="85">
        <v>0</v>
      </c>
      <c r="S104" s="85">
        <v>0</v>
      </c>
      <c r="T104" s="85">
        <f t="shared" si="36"/>
        <v>23.4</v>
      </c>
      <c r="U104" s="91"/>
      <c r="V104" s="89">
        <f t="shared" si="37"/>
        <v>2.5450378033980581</v>
      </c>
      <c r="W104" s="89">
        <f t="shared" si="33"/>
        <v>0</v>
      </c>
      <c r="X104" s="89">
        <f t="shared" si="38"/>
        <v>0</v>
      </c>
      <c r="Y104" s="89">
        <f t="shared" si="46"/>
        <v>0</v>
      </c>
      <c r="Z104" s="89">
        <f t="shared" si="34"/>
        <v>0</v>
      </c>
      <c r="AA104" s="89">
        <f t="shared" si="39"/>
        <v>0</v>
      </c>
      <c r="AB104" s="89">
        <f t="shared" si="35"/>
        <v>48.837227678571423</v>
      </c>
      <c r="AC104" s="89">
        <f t="shared" si="40"/>
        <v>0</v>
      </c>
      <c r="AD104" s="89">
        <f t="shared" si="41"/>
        <v>43.179465195598084</v>
      </c>
      <c r="AE104" s="89">
        <f t="shared" si="42"/>
        <v>0</v>
      </c>
      <c r="AF104" s="89">
        <f t="shared" si="43"/>
        <v>0</v>
      </c>
      <c r="AG104" s="89">
        <f t="shared" si="44"/>
        <v>0</v>
      </c>
      <c r="AH104" s="89">
        <f t="shared" si="45"/>
        <v>0</v>
      </c>
      <c r="AI104" s="89">
        <v>0</v>
      </c>
      <c r="AJ104" s="89"/>
      <c r="AK104" s="89">
        <v>0</v>
      </c>
      <c r="AL104" s="175">
        <f t="shared" si="47"/>
        <v>94.561730677567567</v>
      </c>
      <c r="AM104" s="298"/>
      <c r="AN104" s="121"/>
      <c r="AO104" s="121"/>
      <c r="AP104" s="121"/>
      <c r="AQ104" s="121"/>
      <c r="AR104" s="121"/>
    </row>
    <row r="105" spans="1:44" ht="23.25">
      <c r="A105" s="121"/>
      <c r="B105" s="303"/>
      <c r="C105" s="85">
        <v>37</v>
      </c>
      <c r="D105" s="85" t="s">
        <v>521</v>
      </c>
      <c r="E105" s="151" t="s">
        <v>148</v>
      </c>
      <c r="F105" s="85">
        <f>IF($AP$85="failed", 1, 0)</f>
        <v>0</v>
      </c>
      <c r="G105" s="85">
        <v>5</v>
      </c>
      <c r="H105" s="85">
        <v>0</v>
      </c>
      <c r="I105" s="85">
        <v>0</v>
      </c>
      <c r="J105" s="85">
        <v>0</v>
      </c>
      <c r="K105" s="85">
        <v>5</v>
      </c>
      <c r="L105" s="85">
        <v>0</v>
      </c>
      <c r="M105" s="85">
        <v>0</v>
      </c>
      <c r="N105" s="85">
        <v>0</v>
      </c>
      <c r="O105" s="85">
        <v>0</v>
      </c>
      <c r="P105" s="85">
        <v>0</v>
      </c>
      <c r="Q105" s="85">
        <v>0</v>
      </c>
      <c r="R105" s="85">
        <v>0</v>
      </c>
      <c r="S105" s="85">
        <v>0</v>
      </c>
      <c r="T105" s="85">
        <f t="shared" si="36"/>
        <v>0</v>
      </c>
      <c r="U105" s="91"/>
      <c r="V105" s="89">
        <f t="shared" si="37"/>
        <v>0</v>
      </c>
      <c r="W105" s="89">
        <f t="shared" si="33"/>
        <v>0</v>
      </c>
      <c r="X105" s="89">
        <f t="shared" si="38"/>
        <v>0</v>
      </c>
      <c r="Y105" s="89">
        <f t="shared" si="46"/>
        <v>0</v>
      </c>
      <c r="Z105" s="89">
        <f t="shared" si="34"/>
        <v>0</v>
      </c>
      <c r="AA105" s="89">
        <f t="shared" si="39"/>
        <v>0</v>
      </c>
      <c r="AB105" s="89">
        <f t="shared" si="35"/>
        <v>0</v>
      </c>
      <c r="AC105" s="89">
        <f t="shared" si="40"/>
        <v>0</v>
      </c>
      <c r="AD105" s="89">
        <f t="shared" si="41"/>
        <v>0</v>
      </c>
      <c r="AE105" s="89">
        <f t="shared" si="42"/>
        <v>0</v>
      </c>
      <c r="AF105" s="89">
        <f t="shared" si="43"/>
        <v>0</v>
      </c>
      <c r="AG105" s="89">
        <f t="shared" si="44"/>
        <v>0</v>
      </c>
      <c r="AH105" s="89">
        <f t="shared" si="45"/>
        <v>0</v>
      </c>
      <c r="AI105" s="89">
        <v>0</v>
      </c>
      <c r="AJ105" s="89"/>
      <c r="AK105" s="89">
        <v>0</v>
      </c>
      <c r="AL105" s="175">
        <f t="shared" si="47"/>
        <v>0</v>
      </c>
      <c r="AM105" s="298"/>
      <c r="AN105" s="121"/>
      <c r="AO105" s="121"/>
      <c r="AP105" s="121"/>
      <c r="AQ105" s="121"/>
      <c r="AR105" s="121"/>
    </row>
    <row r="106" spans="1:44" ht="23.25">
      <c r="A106" s="121"/>
      <c r="B106" s="303"/>
      <c r="C106" s="85">
        <v>38</v>
      </c>
      <c r="D106" s="85" t="s">
        <v>522</v>
      </c>
      <c r="E106" s="151" t="s">
        <v>152</v>
      </c>
      <c r="F106" s="85">
        <f>IF($AP$85="failed", 1, 0)</f>
        <v>0</v>
      </c>
      <c r="G106" s="85">
        <v>30</v>
      </c>
      <c r="H106" s="85">
        <v>30</v>
      </c>
      <c r="I106" s="85">
        <v>0</v>
      </c>
      <c r="J106" s="85">
        <v>0</v>
      </c>
      <c r="K106" s="85">
        <v>0</v>
      </c>
      <c r="L106" s="85">
        <v>0</v>
      </c>
      <c r="M106" s="85">
        <v>0</v>
      </c>
      <c r="N106" s="85">
        <v>0</v>
      </c>
      <c r="O106" s="85">
        <v>0</v>
      </c>
      <c r="P106" s="85">
        <v>0</v>
      </c>
      <c r="Q106" s="85">
        <v>0</v>
      </c>
      <c r="R106" s="85">
        <v>0</v>
      </c>
      <c r="S106" s="85">
        <v>0</v>
      </c>
      <c r="T106" s="85">
        <f t="shared" si="36"/>
        <v>0</v>
      </c>
      <c r="U106" s="91"/>
      <c r="V106" s="89">
        <f t="shared" si="37"/>
        <v>0</v>
      </c>
      <c r="W106" s="89">
        <f t="shared" si="33"/>
        <v>0</v>
      </c>
      <c r="X106" s="89">
        <f t="shared" si="38"/>
        <v>0</v>
      </c>
      <c r="Y106" s="89">
        <f t="shared" si="46"/>
        <v>0</v>
      </c>
      <c r="Z106" s="89">
        <f t="shared" si="34"/>
        <v>0</v>
      </c>
      <c r="AA106" s="89">
        <f t="shared" si="39"/>
        <v>0</v>
      </c>
      <c r="AB106" s="89">
        <f t="shared" si="35"/>
        <v>0</v>
      </c>
      <c r="AC106" s="89">
        <f t="shared" si="40"/>
        <v>0</v>
      </c>
      <c r="AD106" s="89">
        <f t="shared" si="41"/>
        <v>0</v>
      </c>
      <c r="AE106" s="89">
        <f t="shared" si="42"/>
        <v>0</v>
      </c>
      <c r="AF106" s="89">
        <f t="shared" si="43"/>
        <v>0</v>
      </c>
      <c r="AG106" s="89">
        <f t="shared" si="44"/>
        <v>0</v>
      </c>
      <c r="AH106" s="89">
        <f t="shared" si="45"/>
        <v>0</v>
      </c>
      <c r="AI106" s="89">
        <v>0</v>
      </c>
      <c r="AJ106" s="89"/>
      <c r="AK106" s="89">
        <v>0</v>
      </c>
      <c r="AL106" s="175">
        <f t="shared" si="47"/>
        <v>0</v>
      </c>
      <c r="AM106" s="298"/>
      <c r="AN106" s="121"/>
      <c r="AO106" s="121"/>
      <c r="AP106" s="121"/>
      <c r="AQ106" s="121"/>
      <c r="AR106" s="121"/>
    </row>
    <row r="107" spans="1:44" ht="23.25">
      <c r="A107" s="121"/>
      <c r="B107" s="303"/>
      <c r="C107" s="85">
        <v>40</v>
      </c>
      <c r="D107" s="85" t="s">
        <v>523</v>
      </c>
      <c r="E107" s="151" t="s">
        <v>212</v>
      </c>
      <c r="F107" s="85">
        <f>IF($AP$85="failed", 0, 1)</f>
        <v>1</v>
      </c>
      <c r="G107" s="85">
        <v>30</v>
      </c>
      <c r="H107" s="85">
        <v>0</v>
      </c>
      <c r="I107" s="85">
        <v>30</v>
      </c>
      <c r="J107" s="85">
        <v>60</v>
      </c>
      <c r="K107" s="85">
        <v>34.9</v>
      </c>
      <c r="L107" s="85">
        <v>0</v>
      </c>
      <c r="M107" s="85">
        <v>0</v>
      </c>
      <c r="N107" s="85">
        <v>0</v>
      </c>
      <c r="O107" s="85">
        <v>0</v>
      </c>
      <c r="P107" s="85">
        <v>0</v>
      </c>
      <c r="Q107" s="85">
        <v>0</v>
      </c>
      <c r="R107" s="85">
        <v>0</v>
      </c>
      <c r="S107" s="85">
        <v>0</v>
      </c>
      <c r="T107" s="85">
        <f>SUM(H107:S107)*F107</f>
        <v>124.9</v>
      </c>
      <c r="U107" s="91"/>
      <c r="V107" s="89">
        <f t="shared" si="37"/>
        <v>13.584411181385363</v>
      </c>
      <c r="W107" s="89">
        <f t="shared" si="33"/>
        <v>0</v>
      </c>
      <c r="X107" s="89">
        <f t="shared" si="38"/>
        <v>32.299999999999997</v>
      </c>
      <c r="Y107" s="89">
        <f t="shared" si="46"/>
        <v>50.212500000000006</v>
      </c>
      <c r="Z107" s="89">
        <f t="shared" si="34"/>
        <v>18.626046418116754</v>
      </c>
      <c r="AA107" s="89">
        <f t="shared" si="39"/>
        <v>0</v>
      </c>
      <c r="AB107" s="89">
        <f t="shared" si="35"/>
        <v>72.838429315476191</v>
      </c>
      <c r="AC107" s="89">
        <f t="shared" si="40"/>
        <v>0</v>
      </c>
      <c r="AD107" s="89">
        <f>(IF(ISNUMBER(SEARCH("CCR8", E107)),K107*$AD$3, 0))*F107</f>
        <v>64.400142535315084</v>
      </c>
      <c r="AE107" s="89">
        <f t="shared" si="42"/>
        <v>0</v>
      </c>
      <c r="AF107" s="89">
        <f t="shared" si="43"/>
        <v>0</v>
      </c>
      <c r="AG107" s="89">
        <f t="shared" si="44"/>
        <v>0</v>
      </c>
      <c r="AH107" s="89">
        <f t="shared" si="45"/>
        <v>0</v>
      </c>
      <c r="AI107" s="89">
        <f>inputs!$E$47*F107</f>
        <v>42.026833333333336</v>
      </c>
      <c r="AJ107" s="89"/>
      <c r="AK107" s="89">
        <v>0</v>
      </c>
      <c r="AL107" s="188">
        <f t="shared" si="47"/>
        <v>293.98836278362671</v>
      </c>
      <c r="AM107" s="198" t="s">
        <v>73</v>
      </c>
      <c r="AN107" s="121"/>
      <c r="AO107" s="121"/>
      <c r="AP107" s="121"/>
      <c r="AQ107" s="121"/>
      <c r="AR107" s="121"/>
    </row>
    <row r="108" spans="1:44" ht="23.25">
      <c r="A108" s="121"/>
      <c r="B108" s="303"/>
      <c r="C108" s="85">
        <v>41</v>
      </c>
      <c r="D108" s="85" t="s">
        <v>524</v>
      </c>
      <c r="E108" s="151" t="s">
        <v>230</v>
      </c>
      <c r="F108" s="85">
        <f>IF(AP88&gt;1, 1, 0)</f>
        <v>1</v>
      </c>
      <c r="G108" s="85">
        <v>0</v>
      </c>
      <c r="H108" s="85">
        <v>0</v>
      </c>
      <c r="I108" s="85">
        <v>0</v>
      </c>
      <c r="J108" s="85">
        <v>0</v>
      </c>
      <c r="K108" s="85">
        <v>12</v>
      </c>
      <c r="L108" s="85">
        <v>0</v>
      </c>
      <c r="M108" s="85">
        <v>0</v>
      </c>
      <c r="N108" s="85">
        <v>0</v>
      </c>
      <c r="O108" s="85">
        <v>0</v>
      </c>
      <c r="P108" s="85">
        <v>0</v>
      </c>
      <c r="Q108" s="85">
        <v>0</v>
      </c>
      <c r="R108" s="85">
        <v>0</v>
      </c>
      <c r="S108" s="85">
        <v>0</v>
      </c>
      <c r="T108" s="85">
        <f t="shared" si="36"/>
        <v>12</v>
      </c>
      <c r="U108" s="91"/>
      <c r="V108" s="89">
        <f t="shared" si="37"/>
        <v>1.3051475914861839</v>
      </c>
      <c r="W108" s="89">
        <f t="shared" si="33"/>
        <v>0</v>
      </c>
      <c r="X108" s="89">
        <f t="shared" si="38"/>
        <v>0</v>
      </c>
      <c r="Y108" s="89">
        <f t="shared" si="46"/>
        <v>0</v>
      </c>
      <c r="Z108" s="89">
        <f t="shared" si="34"/>
        <v>0</v>
      </c>
      <c r="AA108" s="89">
        <f t="shared" si="39"/>
        <v>0</v>
      </c>
      <c r="AB108" s="89">
        <f t="shared" si="35"/>
        <v>25.044732142857143</v>
      </c>
      <c r="AC108" s="89">
        <f t="shared" si="40"/>
        <v>0</v>
      </c>
      <c r="AD108" s="89">
        <f t="shared" si="41"/>
        <v>22.143315484922095</v>
      </c>
      <c r="AE108" s="89">
        <f t="shared" si="42"/>
        <v>0</v>
      </c>
      <c r="AF108" s="89">
        <f t="shared" si="43"/>
        <v>11.257510060606062</v>
      </c>
      <c r="AG108" s="89">
        <f t="shared" si="44"/>
        <v>0</v>
      </c>
      <c r="AH108" s="89">
        <f t="shared" si="45"/>
        <v>0</v>
      </c>
      <c r="AI108" s="89">
        <v>0</v>
      </c>
      <c r="AJ108" s="89"/>
      <c r="AK108" s="89">
        <v>0</v>
      </c>
      <c r="AL108" s="189">
        <f t="shared" si="47"/>
        <v>59.750705279871482</v>
      </c>
      <c r="AM108" s="308" t="s">
        <v>369</v>
      </c>
      <c r="AN108" s="121"/>
      <c r="AO108" s="121"/>
      <c r="AP108" s="121"/>
      <c r="AQ108" s="121"/>
      <c r="AR108" s="121"/>
    </row>
    <row r="109" spans="1:44" ht="23.25">
      <c r="A109" s="121"/>
      <c r="B109" s="303"/>
      <c r="C109" s="85">
        <v>42</v>
      </c>
      <c r="D109" s="85" t="s">
        <v>525</v>
      </c>
      <c r="E109" s="151" t="s">
        <v>158</v>
      </c>
      <c r="F109" s="85">
        <f>IF(OR((AP87="Cryo DMSO"), (AP87="Cryo Blasto")), 1, 0)</f>
        <v>1</v>
      </c>
      <c r="G109" s="85">
        <v>0</v>
      </c>
      <c r="H109" s="85">
        <v>0</v>
      </c>
      <c r="I109" s="85">
        <v>0</v>
      </c>
      <c r="J109" s="85">
        <v>0</v>
      </c>
      <c r="K109" s="85">
        <v>31</v>
      </c>
      <c r="L109" s="85">
        <v>0</v>
      </c>
      <c r="M109" s="85">
        <v>0</v>
      </c>
      <c r="N109" s="85">
        <v>0</v>
      </c>
      <c r="O109" s="85">
        <v>0</v>
      </c>
      <c r="P109" s="85">
        <v>0</v>
      </c>
      <c r="Q109" s="85">
        <v>0</v>
      </c>
      <c r="R109" s="85">
        <v>0</v>
      </c>
      <c r="S109" s="85">
        <v>0</v>
      </c>
      <c r="T109" s="85">
        <f t="shared" si="36"/>
        <v>31</v>
      </c>
      <c r="U109" s="91"/>
      <c r="V109" s="89">
        <f t="shared" si="37"/>
        <v>3.3716312780059745</v>
      </c>
      <c r="W109" s="89">
        <f t="shared" si="33"/>
        <v>0</v>
      </c>
      <c r="X109" s="89">
        <f t="shared" si="38"/>
        <v>0</v>
      </c>
      <c r="Y109" s="89">
        <f t="shared" si="46"/>
        <v>0</v>
      </c>
      <c r="Z109" s="89">
        <f t="shared" si="34"/>
        <v>0</v>
      </c>
      <c r="AA109" s="89">
        <f t="shared" si="39"/>
        <v>0</v>
      </c>
      <c r="AB109" s="89">
        <f t="shared" si="35"/>
        <v>64.698891369047615</v>
      </c>
      <c r="AC109" s="89">
        <f t="shared" si="40"/>
        <v>13.835366555542002</v>
      </c>
      <c r="AD109" s="89">
        <f t="shared" si="41"/>
        <v>0</v>
      </c>
      <c r="AE109" s="89">
        <f t="shared" si="42"/>
        <v>0</v>
      </c>
      <c r="AF109" s="89">
        <f t="shared" si="43"/>
        <v>29.08190098989899</v>
      </c>
      <c r="AG109" s="89">
        <f t="shared" si="44"/>
        <v>0</v>
      </c>
      <c r="AH109" s="89">
        <f t="shared" si="45"/>
        <v>0</v>
      </c>
      <c r="AI109" s="89">
        <v>0</v>
      </c>
      <c r="AJ109" s="89"/>
      <c r="AK109" s="89">
        <v>0</v>
      </c>
      <c r="AL109" s="189">
        <f t="shared" si="47"/>
        <v>110.9877901924946</v>
      </c>
      <c r="AM109" s="308"/>
      <c r="AN109" s="121"/>
      <c r="AO109" s="121"/>
      <c r="AP109" s="121"/>
      <c r="AQ109" s="121"/>
      <c r="AR109" s="121"/>
    </row>
    <row r="110" spans="1:44" ht="23.25">
      <c r="A110" s="121"/>
      <c r="B110" s="303"/>
      <c r="C110" s="85">
        <v>43</v>
      </c>
      <c r="D110" s="85" t="s">
        <v>526</v>
      </c>
      <c r="E110" s="151" t="s">
        <v>158</v>
      </c>
      <c r="F110" s="85">
        <f>IF(AP87="Vitri", 1,0)</f>
        <v>0</v>
      </c>
      <c r="G110" s="85">
        <v>0</v>
      </c>
      <c r="H110" s="85">
        <v>0</v>
      </c>
      <c r="I110" s="85">
        <v>0</v>
      </c>
      <c r="J110" s="85">
        <v>0</v>
      </c>
      <c r="K110" s="85">
        <v>27.6</v>
      </c>
      <c r="L110" s="85">
        <v>0</v>
      </c>
      <c r="M110" s="85">
        <v>0</v>
      </c>
      <c r="N110" s="85">
        <v>0</v>
      </c>
      <c r="O110" s="85">
        <v>0</v>
      </c>
      <c r="P110" s="85">
        <v>0</v>
      </c>
      <c r="Q110" s="85">
        <v>0</v>
      </c>
      <c r="R110" s="85">
        <v>0</v>
      </c>
      <c r="S110" s="85">
        <v>0</v>
      </c>
      <c r="T110" s="85">
        <f t="shared" si="36"/>
        <v>0</v>
      </c>
      <c r="U110" s="91"/>
      <c r="V110" s="89">
        <f t="shared" si="37"/>
        <v>0</v>
      </c>
      <c r="W110" s="89">
        <f t="shared" si="33"/>
        <v>0</v>
      </c>
      <c r="X110" s="89">
        <f t="shared" si="38"/>
        <v>0</v>
      </c>
      <c r="Y110" s="89">
        <f t="shared" si="46"/>
        <v>0</v>
      </c>
      <c r="Z110" s="89">
        <f t="shared" si="34"/>
        <v>0</v>
      </c>
      <c r="AA110" s="89">
        <f t="shared" si="39"/>
        <v>0</v>
      </c>
      <c r="AB110" s="89">
        <f t="shared" si="35"/>
        <v>0</v>
      </c>
      <c r="AC110" s="89">
        <f t="shared" si="40"/>
        <v>0</v>
      </c>
      <c r="AD110" s="89">
        <f t="shared" si="41"/>
        <v>0</v>
      </c>
      <c r="AE110" s="89">
        <f t="shared" si="42"/>
        <v>0</v>
      </c>
      <c r="AF110" s="89">
        <f t="shared" si="43"/>
        <v>0</v>
      </c>
      <c r="AG110" s="89">
        <f t="shared" si="44"/>
        <v>0</v>
      </c>
      <c r="AH110" s="89">
        <f t="shared" si="45"/>
        <v>0</v>
      </c>
      <c r="AI110" s="89">
        <v>0</v>
      </c>
      <c r="AJ110" s="89"/>
      <c r="AK110" s="89">
        <v>0</v>
      </c>
      <c r="AL110" s="189">
        <f t="shared" si="47"/>
        <v>0</v>
      </c>
      <c r="AM110" s="308"/>
      <c r="AN110" s="121"/>
      <c r="AO110" s="121"/>
      <c r="AP110" s="121"/>
      <c r="AQ110" s="121"/>
      <c r="AR110" s="121"/>
    </row>
    <row r="111" spans="1:44" ht="23.25">
      <c r="A111" s="121"/>
      <c r="B111" s="303"/>
      <c r="C111" s="85">
        <v>44</v>
      </c>
      <c r="D111" s="85" t="s">
        <v>527</v>
      </c>
      <c r="E111" s="151" t="s">
        <v>156</v>
      </c>
      <c r="F111" s="85">
        <f>IF(F108&gt;0, 1, 0)</f>
        <v>1</v>
      </c>
      <c r="G111" s="85">
        <v>10</v>
      </c>
      <c r="H111" s="85">
        <v>0</v>
      </c>
      <c r="I111" s="85">
        <v>0</v>
      </c>
      <c r="J111" s="85">
        <v>15</v>
      </c>
      <c r="K111" s="85">
        <v>5.6</v>
      </c>
      <c r="L111" s="85">
        <v>0</v>
      </c>
      <c r="M111" s="85">
        <v>0</v>
      </c>
      <c r="N111" s="85">
        <v>0</v>
      </c>
      <c r="O111" s="85">
        <v>0</v>
      </c>
      <c r="P111" s="85">
        <v>0</v>
      </c>
      <c r="Q111" s="85">
        <v>0</v>
      </c>
      <c r="R111" s="85">
        <v>0</v>
      </c>
      <c r="S111" s="85">
        <v>0</v>
      </c>
      <c r="T111" s="85">
        <f t="shared" si="36"/>
        <v>20.6</v>
      </c>
      <c r="U111" s="91"/>
      <c r="V111" s="89">
        <f t="shared" si="37"/>
        <v>2.2405033653846158</v>
      </c>
      <c r="W111" s="89">
        <f t="shared" si="33"/>
        <v>0</v>
      </c>
      <c r="X111" s="89">
        <f t="shared" si="38"/>
        <v>0</v>
      </c>
      <c r="Y111" s="89">
        <f t="shared" si="46"/>
        <v>12.553125000000001</v>
      </c>
      <c r="Z111" s="89">
        <f t="shared" si="34"/>
        <v>0</v>
      </c>
      <c r="AA111" s="89">
        <f t="shared" si="39"/>
        <v>0</v>
      </c>
      <c r="AB111" s="89">
        <f t="shared" si="35"/>
        <v>11.687541666666666</v>
      </c>
      <c r="AC111" s="89">
        <f t="shared" si="40"/>
        <v>0</v>
      </c>
      <c r="AD111" s="89">
        <f t="shared" si="41"/>
        <v>10.333547226296977</v>
      </c>
      <c r="AE111" s="89">
        <f t="shared" si="42"/>
        <v>0</v>
      </c>
      <c r="AF111" s="89">
        <f t="shared" si="43"/>
        <v>0</v>
      </c>
      <c r="AG111" s="89">
        <f t="shared" si="44"/>
        <v>0</v>
      </c>
      <c r="AH111" s="89">
        <f t="shared" si="45"/>
        <v>0</v>
      </c>
      <c r="AI111" s="89">
        <v>0</v>
      </c>
      <c r="AJ111" s="89"/>
      <c r="AK111" s="89">
        <v>0</v>
      </c>
      <c r="AL111" s="189">
        <f t="shared" si="47"/>
        <v>36.81471725834826</v>
      </c>
      <c r="AM111" s="309"/>
      <c r="AN111" s="121"/>
      <c r="AO111" s="121"/>
      <c r="AP111" s="121"/>
      <c r="AQ111" s="121"/>
      <c r="AR111" s="121"/>
    </row>
    <row r="112" spans="1:44" ht="23.25">
      <c r="A112" s="121"/>
      <c r="B112" s="303"/>
      <c r="C112" s="85">
        <v>45</v>
      </c>
      <c r="D112" s="85" t="s">
        <v>529</v>
      </c>
      <c r="E112" s="151" t="s">
        <v>152</v>
      </c>
      <c r="F112" s="85">
        <f>IF(F106&gt;0, 0, 1)</f>
        <v>1</v>
      </c>
      <c r="G112" s="85">
        <v>30</v>
      </c>
      <c r="H112" s="85">
        <v>0</v>
      </c>
      <c r="I112" s="85">
        <v>30</v>
      </c>
      <c r="J112" s="85">
        <v>30</v>
      </c>
      <c r="K112" s="85">
        <v>0</v>
      </c>
      <c r="L112" s="85">
        <v>0</v>
      </c>
      <c r="M112" s="85">
        <v>0</v>
      </c>
      <c r="N112" s="85">
        <v>0</v>
      </c>
      <c r="O112" s="85">
        <v>0</v>
      </c>
      <c r="P112" s="85">
        <v>0</v>
      </c>
      <c r="Q112" s="85">
        <v>0</v>
      </c>
      <c r="R112" s="85">
        <v>0</v>
      </c>
      <c r="S112" s="85">
        <v>0</v>
      </c>
      <c r="T112" s="85">
        <f t="shared" si="36"/>
        <v>60</v>
      </c>
      <c r="U112" s="91"/>
      <c r="V112" s="89">
        <f t="shared" si="37"/>
        <v>6.5257379574309189</v>
      </c>
      <c r="W112" s="89">
        <f t="shared" si="33"/>
        <v>0</v>
      </c>
      <c r="X112" s="89">
        <f t="shared" si="38"/>
        <v>32.299999999999997</v>
      </c>
      <c r="Y112" s="89">
        <f t="shared" si="46"/>
        <v>25.106250000000003</v>
      </c>
      <c r="Z112" s="89">
        <f t="shared" si="34"/>
        <v>12.417364278744502</v>
      </c>
      <c r="AA112" s="89">
        <f t="shared" si="39"/>
        <v>0</v>
      </c>
      <c r="AB112" s="89">
        <f t="shared" si="35"/>
        <v>0</v>
      </c>
      <c r="AC112" s="89">
        <f t="shared" si="40"/>
        <v>0</v>
      </c>
      <c r="AD112" s="89">
        <f t="shared" si="41"/>
        <v>0</v>
      </c>
      <c r="AE112" s="89">
        <f t="shared" si="42"/>
        <v>0</v>
      </c>
      <c r="AF112" s="89">
        <f t="shared" si="43"/>
        <v>0</v>
      </c>
      <c r="AG112" s="89">
        <f t="shared" si="44"/>
        <v>0</v>
      </c>
      <c r="AH112" s="89">
        <f t="shared" si="45"/>
        <v>0</v>
      </c>
      <c r="AI112" s="89">
        <v>0</v>
      </c>
      <c r="AJ112" s="89"/>
      <c r="AK112" s="89">
        <f>inputs!E40</f>
        <v>31.48</v>
      </c>
      <c r="AL112" s="155">
        <f>SUM(V112:AK112)</f>
        <v>107.82935223617542</v>
      </c>
      <c r="AM112" s="319" t="s">
        <v>461</v>
      </c>
      <c r="AN112" s="121"/>
      <c r="AO112" s="181"/>
      <c r="AP112" s="121"/>
      <c r="AQ112" s="121"/>
      <c r="AR112" s="121"/>
    </row>
    <row r="113" spans="1:61" ht="24" thickBot="1">
      <c r="A113" s="121"/>
      <c r="B113" s="303"/>
      <c r="C113" s="85">
        <v>46</v>
      </c>
      <c r="D113" s="85" t="s">
        <v>528</v>
      </c>
      <c r="E113" s="151" t="s">
        <v>152</v>
      </c>
      <c r="F113" s="85">
        <v>1</v>
      </c>
      <c r="G113" s="85">
        <v>30</v>
      </c>
      <c r="H113" s="85">
        <v>30</v>
      </c>
      <c r="I113" s="85">
        <v>0</v>
      </c>
      <c r="J113" s="85">
        <v>0</v>
      </c>
      <c r="K113" s="85">
        <v>0</v>
      </c>
      <c r="L113" s="85">
        <v>0</v>
      </c>
      <c r="M113" s="85">
        <v>0</v>
      </c>
      <c r="N113" s="85">
        <v>0</v>
      </c>
      <c r="O113" s="85">
        <v>0</v>
      </c>
      <c r="P113" s="85">
        <v>0</v>
      </c>
      <c r="Q113" s="85">
        <v>0</v>
      </c>
      <c r="R113" s="85">
        <v>0</v>
      </c>
      <c r="S113" s="85">
        <v>0</v>
      </c>
      <c r="T113" s="85">
        <f t="shared" si="36"/>
        <v>30</v>
      </c>
      <c r="U113" s="91"/>
      <c r="V113" s="89">
        <f t="shared" si="37"/>
        <v>3.2628689787154594</v>
      </c>
      <c r="W113" s="89">
        <f t="shared" si="33"/>
        <v>57.543749999999996</v>
      </c>
      <c r="X113" s="89">
        <f t="shared" si="38"/>
        <v>0</v>
      </c>
      <c r="Y113" s="89">
        <f t="shared" si="46"/>
        <v>0</v>
      </c>
      <c r="Z113" s="89">
        <f t="shared" si="34"/>
        <v>6.2086821393722511</v>
      </c>
      <c r="AA113" s="89">
        <f t="shared" si="39"/>
        <v>0</v>
      </c>
      <c r="AB113" s="89">
        <f t="shared" si="35"/>
        <v>0</v>
      </c>
      <c r="AC113" s="89">
        <f t="shared" si="40"/>
        <v>0</v>
      </c>
      <c r="AD113" s="89">
        <f t="shared" si="41"/>
        <v>0</v>
      </c>
      <c r="AE113" s="89">
        <f t="shared" si="42"/>
        <v>0</v>
      </c>
      <c r="AF113" s="89">
        <f t="shared" si="43"/>
        <v>0</v>
      </c>
      <c r="AG113" s="89">
        <f t="shared" si="44"/>
        <v>0</v>
      </c>
      <c r="AH113" s="89">
        <f t="shared" si="45"/>
        <v>0</v>
      </c>
      <c r="AI113" s="89">
        <v>0</v>
      </c>
      <c r="AJ113" s="89"/>
      <c r="AK113" s="89">
        <v>0</v>
      </c>
      <c r="AL113" s="156">
        <f>SUM(V113:AK113)</f>
        <v>67.015301118087706</v>
      </c>
      <c r="AM113" s="315"/>
      <c r="AN113" s="121"/>
      <c r="AO113" s="121"/>
      <c r="AP113" s="121"/>
      <c r="AQ113" s="121"/>
      <c r="AR113" s="121"/>
      <c r="BI113" s="10"/>
    </row>
    <row r="114" spans="1:61" ht="24" thickTop="1">
      <c r="A114" s="120"/>
      <c r="B114" s="304"/>
      <c r="C114" s="87"/>
      <c r="D114" s="118"/>
      <c r="E114" s="252" t="s">
        <v>552</v>
      </c>
      <c r="F114" s="19"/>
      <c r="G114" s="253">
        <f>($F102*G102)+($F103*G103)+($F104*G104)+($F105*G105)+($F106*G106)+($F107*G107)+($F108*G108)+($F109*G109)+($F110*G110)+($F111*G111)+($F112*G112)+($F113*G113)+($F101*G101)+($F100*G100)+($F99*G99)+($F98*G98)+($F97*G97)+($F96*G96)+($F95*G95)+($F94*G94)+($F93*G93)+(F92*G92)+(F91*G91)+(F90*G90)+(F89*G89)+($F88*G88)+($F87*G87)+($F86*G86)+($F85*G85)+($F84*G84)+($F83*G83)+($F82*G82)+($F81*G81)+($F80*G80)+($F79*G79)+($F78*G78)+($F77*G77)+($F76*G76)</f>
        <v>365</v>
      </c>
      <c r="H114" s="253">
        <f>($F102*H102)+($F103*H103)+($F104*H104)+($F105*H105)+($F106*H106)+($F107*H107)+($F108*H108)+($F109*H109)+($F110*H110)+($F111*H111)+($F112*H112)+($F113*H113)+($F101*H101)+($F100*H100)+($F99*H99)+($F98*H98)+($F97*H97)+($F96*H96)+($F95*H95)+($F94*H94)+($F93*H93)+($F92*H92)+($F91*H91)+($F90*H90)+($F89*H89)+($F88*H88)+($F87*H87)+($F86*H86)+($F85*H85)+($F84*H84)+($F83*H83)+($F82*H82)+($F81*H81)+($F80*H80)+($F79*H79)+($F78*H78)+($F77*H77)+($F76*H76)</f>
        <v>30</v>
      </c>
      <c r="I114" s="253">
        <f t="shared" ref="I114:S114" si="49">($F102*I102)+($F103*I103)+($F104*I104)+($F105*I105)+($F106*I106)+($F107*I107)+($F108*I108)+($F109*I109)+($F110*I110)+($F111*I111)+($F112*I112)+($F113*I113)+($F101*I101)+($F100*I100)+($F99*I99)+($F98*I98)+($F97*I97)+($F96*I96)+($F95*I95)+($F94*I94)+($F93*I93)+($F92*I92)+($F91*I91)+($F90*I90)+($F89*I89)+($F88*I88)+($F87*I87)+($F86*I86)+($F85*I85)+($F84*I84)+($F83*I83)+($F82*I82)+($F81*I81)+($F80*I80)+($F79*I79)+($F78*I78)+($F77*I77)+($F76*I76)</f>
        <v>190</v>
      </c>
      <c r="J114" s="253">
        <f t="shared" si="49"/>
        <v>345</v>
      </c>
      <c r="K114" s="253">
        <f t="shared" si="49"/>
        <v>313.2</v>
      </c>
      <c r="L114" s="253">
        <f>($F102*L102)+($F103*L103)+($F104*L104)+($F105*L105)+($F106*L106)+($F107*L107)+($F108*L108)+($F109*L109)+($F110*L110)+($F111*L111)+($F112*L112)+($F113*L113)+($F101*L101)+($F100*L100)+($F99*L99)+($F98*L98)+($F97*L97)+($F96*L96)+($F95*L95)+($F94*L94)+($F93*L93)+($F92*L92)+($F91*L91)+($F90*L90)+($F89*L89)+($F88*L88)+($F87*L87)+($F86*L86)+($F85*L85)+($F84*L84)+($F83*L83)+($F82*L82)+($F81*L81)+($F80*L80)+($F79*L79)+($F78*L78)+($F77*L77)+($F76*L76)</f>
        <v>0</v>
      </c>
      <c r="M114" s="253">
        <f t="shared" si="49"/>
        <v>0</v>
      </c>
      <c r="N114" s="253">
        <f t="shared" si="49"/>
        <v>0</v>
      </c>
      <c r="O114" s="253">
        <f t="shared" si="49"/>
        <v>0</v>
      </c>
      <c r="P114" s="253">
        <f t="shared" si="49"/>
        <v>0</v>
      </c>
      <c r="Q114" s="253">
        <v>0</v>
      </c>
      <c r="R114" s="253">
        <f t="shared" si="49"/>
        <v>0</v>
      </c>
      <c r="S114" s="253">
        <f t="shared" si="49"/>
        <v>0</v>
      </c>
      <c r="T114" s="253">
        <f t="shared" ref="T114:AL114" si="50">SUM(T76:T113)</f>
        <v>938.2</v>
      </c>
      <c r="U114" s="253">
        <f t="shared" si="50"/>
        <v>0</v>
      </c>
      <c r="V114" s="253">
        <f t="shared" si="50"/>
        <v>102.04078919436148</v>
      </c>
      <c r="W114" s="253">
        <f t="shared" si="50"/>
        <v>57.543749999999996</v>
      </c>
      <c r="X114" s="253">
        <f t="shared" si="50"/>
        <v>204.56666666666666</v>
      </c>
      <c r="Y114" s="253">
        <f t="shared" si="50"/>
        <v>288.72187500000007</v>
      </c>
      <c r="Z114" s="253">
        <f t="shared" si="50"/>
        <v>91.060671377459698</v>
      </c>
      <c r="AA114" s="253">
        <f t="shared" si="50"/>
        <v>0</v>
      </c>
      <c r="AB114" s="253">
        <f t="shared" si="50"/>
        <v>653.66750892857135</v>
      </c>
      <c r="AC114" s="253">
        <f t="shared" si="50"/>
        <v>86.537986294180456</v>
      </c>
      <c r="AD114" s="253">
        <f t="shared" si="50"/>
        <v>384.74010655052138</v>
      </c>
      <c r="AE114" s="253">
        <f t="shared" si="50"/>
        <v>0</v>
      </c>
      <c r="AF114" s="253">
        <f t="shared" si="50"/>
        <v>40.339411050505049</v>
      </c>
      <c r="AG114" s="253">
        <f t="shared" si="50"/>
        <v>0</v>
      </c>
      <c r="AH114" s="253">
        <f t="shared" si="50"/>
        <v>0</v>
      </c>
      <c r="AI114" s="253">
        <f t="shared" si="50"/>
        <v>88.502933333333345</v>
      </c>
      <c r="AJ114" s="253">
        <f t="shared" si="50"/>
        <v>526.80571428571432</v>
      </c>
      <c r="AK114" s="253">
        <f t="shared" si="50"/>
        <v>85.2</v>
      </c>
      <c r="AL114" s="178">
        <f t="shared" si="50"/>
        <v>2609.727412681314</v>
      </c>
      <c r="AM114" s="180"/>
      <c r="AN114" s="180"/>
      <c r="AO114" s="120"/>
      <c r="AP114" s="120"/>
      <c r="AQ114" s="121"/>
      <c r="AR114" s="121"/>
    </row>
    <row r="115" spans="1:61" ht="21" thickBot="1">
      <c r="A115" s="121"/>
      <c r="B115" s="120"/>
      <c r="C115" s="167"/>
      <c r="D115" s="108"/>
      <c r="E115" s="179"/>
      <c r="F115" s="109"/>
      <c r="G115" s="168"/>
      <c r="H115" s="176"/>
      <c r="I115" s="120"/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69">
        <f>T114-60</f>
        <v>878.2</v>
      </c>
      <c r="U115" s="169"/>
      <c r="V115" s="170"/>
      <c r="W115" s="159"/>
      <c r="X115" s="159"/>
      <c r="Y115" s="159"/>
      <c r="Z115" s="159"/>
      <c r="AA115" s="159"/>
      <c r="AB115" s="159"/>
      <c r="AC115" s="159"/>
      <c r="AD115" s="159"/>
      <c r="AE115" s="159"/>
      <c r="AF115" s="159"/>
      <c r="AG115" s="159"/>
      <c r="AH115" s="159"/>
      <c r="AI115" s="171"/>
      <c r="AJ115" s="120"/>
      <c r="AK115" s="120"/>
      <c r="AL115" s="170"/>
      <c r="AM115" s="180"/>
      <c r="AN115" s="180"/>
      <c r="AO115" s="243"/>
      <c r="AP115" s="243"/>
      <c r="AQ115" s="242"/>
      <c r="AR115" s="121"/>
    </row>
    <row r="116" spans="1:61" ht="24" thickBot="1">
      <c r="A116" s="121"/>
      <c r="B116" s="302" t="s">
        <v>460</v>
      </c>
      <c r="C116" s="83">
        <v>1</v>
      </c>
      <c r="D116" s="83" t="s">
        <v>498</v>
      </c>
      <c r="E116" s="150" t="s">
        <v>68</v>
      </c>
      <c r="F116" s="83">
        <f>IF($AP$117="yes", 1, 0)</f>
        <v>0</v>
      </c>
      <c r="G116" s="83">
        <v>10</v>
      </c>
      <c r="H116" s="83">
        <v>0</v>
      </c>
      <c r="I116" s="83">
        <v>90</v>
      </c>
      <c r="J116" s="83">
        <v>90</v>
      </c>
      <c r="K116" s="83">
        <v>0</v>
      </c>
      <c r="L116" s="83">
        <v>0</v>
      </c>
      <c r="M116" s="83">
        <v>0</v>
      </c>
      <c r="N116" s="83">
        <v>0</v>
      </c>
      <c r="O116" s="83">
        <v>0</v>
      </c>
      <c r="P116" s="83">
        <v>0</v>
      </c>
      <c r="Q116" s="83">
        <v>30</v>
      </c>
      <c r="R116" s="83">
        <v>0</v>
      </c>
      <c r="S116" s="83">
        <v>0</v>
      </c>
      <c r="T116" s="83">
        <f t="shared" ref="T116:T121" si="51">SUM(H116:S116)*F116</f>
        <v>0</v>
      </c>
      <c r="U116" s="88"/>
      <c r="V116" s="88">
        <f t="shared" si="37"/>
        <v>0</v>
      </c>
      <c r="W116" s="88">
        <f>H116*$W$3*F116</f>
        <v>0</v>
      </c>
      <c r="X116" s="88">
        <f t="shared" si="38"/>
        <v>0</v>
      </c>
      <c r="Y116" s="88">
        <f t="shared" si="46"/>
        <v>0</v>
      </c>
      <c r="Z116" s="88">
        <f>IF(ISNUMBER(SEARCH("CCR4", E116)),(T116-K116)*$Z$3, 0)</f>
        <v>0</v>
      </c>
      <c r="AA116" s="88">
        <f t="shared" si="39"/>
        <v>0</v>
      </c>
      <c r="AB116" s="88">
        <f>K116*$AB$3*F116</f>
        <v>0</v>
      </c>
      <c r="AC116" s="88">
        <f t="shared" si="40"/>
        <v>0</v>
      </c>
      <c r="AD116" s="88">
        <f t="shared" si="41"/>
        <v>0</v>
      </c>
      <c r="AE116" s="88">
        <f t="shared" si="42"/>
        <v>0</v>
      </c>
      <c r="AF116" s="88">
        <f t="shared" si="43"/>
        <v>0</v>
      </c>
      <c r="AG116" s="88">
        <f t="shared" si="44"/>
        <v>0</v>
      </c>
      <c r="AH116" s="88">
        <f t="shared" si="45"/>
        <v>0</v>
      </c>
      <c r="AI116" s="88">
        <v>0</v>
      </c>
      <c r="AJ116" s="88"/>
      <c r="AK116" s="88">
        <v>0</v>
      </c>
      <c r="AL116" s="152">
        <f t="shared" ref="AL116:AL125" si="52">SUM(V116:AK116)*F116</f>
        <v>0</v>
      </c>
      <c r="AM116" s="295" t="s">
        <v>366</v>
      </c>
      <c r="AN116" s="208"/>
      <c r="AO116" s="240" t="s">
        <v>451</v>
      </c>
      <c r="AP116" s="240" t="s">
        <v>49</v>
      </c>
      <c r="AQ116" s="240" t="s">
        <v>452</v>
      </c>
      <c r="AR116" s="121"/>
      <c r="AT116" s="38" t="s">
        <v>194</v>
      </c>
      <c r="AU116" s="39" t="s">
        <v>174</v>
      </c>
      <c r="AX116" s="38" t="s">
        <v>378</v>
      </c>
      <c r="AY116" s="38" t="s">
        <v>374</v>
      </c>
    </row>
    <row r="117" spans="1:61" ht="23.25">
      <c r="A117" s="121"/>
      <c r="B117" s="303"/>
      <c r="C117" s="85">
        <v>2</v>
      </c>
      <c r="D117" s="85" t="s">
        <v>499</v>
      </c>
      <c r="E117" s="151" t="s">
        <v>52</v>
      </c>
      <c r="F117" s="85">
        <v>1</v>
      </c>
      <c r="G117" s="85">
        <v>30</v>
      </c>
      <c r="H117" s="85">
        <v>0</v>
      </c>
      <c r="I117" s="85">
        <v>0</v>
      </c>
      <c r="J117" s="85">
        <v>30</v>
      </c>
      <c r="K117" s="85">
        <v>0</v>
      </c>
      <c r="L117" s="85">
        <v>0</v>
      </c>
      <c r="M117" s="85">
        <v>0</v>
      </c>
      <c r="N117" s="85">
        <v>0</v>
      </c>
      <c r="O117" s="85">
        <v>0</v>
      </c>
      <c r="P117" s="85">
        <v>0</v>
      </c>
      <c r="Q117" s="85">
        <v>30</v>
      </c>
      <c r="R117" s="85">
        <v>0</v>
      </c>
      <c r="S117" s="85">
        <v>0</v>
      </c>
      <c r="T117" s="85">
        <f t="shared" si="51"/>
        <v>60</v>
      </c>
      <c r="U117" s="89"/>
      <c r="V117" s="89">
        <f t="shared" si="37"/>
        <v>6.5257379574309189</v>
      </c>
      <c r="W117" s="89">
        <f t="shared" ref="W117:W154" si="53">H117*$W$3*F117</f>
        <v>0</v>
      </c>
      <c r="X117" s="89">
        <f t="shared" si="38"/>
        <v>0</v>
      </c>
      <c r="Y117" s="89">
        <f t="shared" si="46"/>
        <v>25.106250000000003</v>
      </c>
      <c r="Z117" s="89">
        <f t="shared" ref="Z117:Z154" si="54">IF(ISNUMBER(SEARCH("CCR4", E117)),(T117-K117)*$Z$3, 0)</f>
        <v>0</v>
      </c>
      <c r="AA117" s="89">
        <f t="shared" si="39"/>
        <v>0</v>
      </c>
      <c r="AB117" s="89">
        <f t="shared" ref="AB117:AB154" si="55">K117*$AB$3*F117</f>
        <v>0</v>
      </c>
      <c r="AC117" s="89">
        <f t="shared" si="40"/>
        <v>0</v>
      </c>
      <c r="AD117" s="89">
        <f t="shared" si="41"/>
        <v>0</v>
      </c>
      <c r="AE117" s="89">
        <f t="shared" si="42"/>
        <v>0</v>
      </c>
      <c r="AF117" s="89">
        <f t="shared" si="43"/>
        <v>0</v>
      </c>
      <c r="AG117" s="89">
        <f t="shared" si="44"/>
        <v>0</v>
      </c>
      <c r="AH117" s="89">
        <f t="shared" si="45"/>
        <v>0</v>
      </c>
      <c r="AI117" s="89">
        <v>0</v>
      </c>
      <c r="AJ117" s="89"/>
      <c r="AK117" s="89">
        <v>0</v>
      </c>
      <c r="AL117" s="153">
        <f t="shared" si="52"/>
        <v>31.631987957430923</v>
      </c>
      <c r="AM117" s="296"/>
      <c r="AN117" s="208"/>
      <c r="AO117" s="190" t="s">
        <v>58</v>
      </c>
      <c r="AP117" s="183" t="s">
        <v>18</v>
      </c>
      <c r="AQ117" s="184" t="s">
        <v>57</v>
      </c>
      <c r="AR117" s="121"/>
      <c r="AT117" s="40" t="s">
        <v>278</v>
      </c>
      <c r="AU117" s="293" t="s">
        <v>62</v>
      </c>
      <c r="AX117" s="44" t="s">
        <v>225</v>
      </c>
      <c r="AY117" s="73">
        <f>SUM(AI116:AI154)+SUM(AK116:AK154)</f>
        <v>230.56700333333333</v>
      </c>
    </row>
    <row r="118" spans="1:61" ht="24" thickBot="1">
      <c r="A118" s="121"/>
      <c r="B118" s="303"/>
      <c r="C118" s="85">
        <v>3</v>
      </c>
      <c r="D118" s="85" t="s">
        <v>500</v>
      </c>
      <c r="E118" s="151" t="s">
        <v>52</v>
      </c>
      <c r="F118" s="85">
        <v>1</v>
      </c>
      <c r="G118" s="85">
        <v>30</v>
      </c>
      <c r="H118" s="85">
        <v>0</v>
      </c>
      <c r="I118" s="85">
        <v>0</v>
      </c>
      <c r="J118" s="85">
        <v>5</v>
      </c>
      <c r="K118" s="85">
        <v>0</v>
      </c>
      <c r="L118" s="85">
        <v>0</v>
      </c>
      <c r="M118" s="85">
        <v>0</v>
      </c>
      <c r="N118" s="85">
        <v>0</v>
      </c>
      <c r="O118" s="85">
        <v>0</v>
      </c>
      <c r="P118" s="85">
        <v>0</v>
      </c>
      <c r="Q118" s="85">
        <v>0</v>
      </c>
      <c r="R118" s="85">
        <v>0</v>
      </c>
      <c r="S118" s="85">
        <v>0</v>
      </c>
      <c r="T118" s="85">
        <f t="shared" si="51"/>
        <v>5</v>
      </c>
      <c r="U118" s="89"/>
      <c r="V118" s="89">
        <f t="shared" si="37"/>
        <v>0.54381149645257654</v>
      </c>
      <c r="W118" s="89">
        <f t="shared" si="53"/>
        <v>0</v>
      </c>
      <c r="X118" s="89">
        <f t="shared" si="38"/>
        <v>0</v>
      </c>
      <c r="Y118" s="89">
        <f t="shared" si="46"/>
        <v>4.1843750000000011</v>
      </c>
      <c r="Z118" s="89">
        <f t="shared" si="54"/>
        <v>0</v>
      </c>
      <c r="AA118" s="89">
        <f t="shared" si="39"/>
        <v>0</v>
      </c>
      <c r="AB118" s="89">
        <f t="shared" si="55"/>
        <v>0</v>
      </c>
      <c r="AC118" s="89">
        <f t="shared" si="40"/>
        <v>0</v>
      </c>
      <c r="AD118" s="89">
        <f t="shared" si="41"/>
        <v>0</v>
      </c>
      <c r="AE118" s="89">
        <f t="shared" si="42"/>
        <v>0</v>
      </c>
      <c r="AF118" s="89">
        <f t="shared" si="43"/>
        <v>0</v>
      </c>
      <c r="AG118" s="89">
        <f t="shared" si="44"/>
        <v>0</v>
      </c>
      <c r="AH118" s="89">
        <f t="shared" si="45"/>
        <v>0</v>
      </c>
      <c r="AI118" s="89">
        <v>0</v>
      </c>
      <c r="AJ118" s="89"/>
      <c r="AK118" s="89">
        <v>0</v>
      </c>
      <c r="AL118" s="153">
        <f t="shared" si="52"/>
        <v>4.7281864964525777</v>
      </c>
      <c r="AM118" s="296"/>
      <c r="AN118" s="208"/>
      <c r="AO118" s="191" t="s">
        <v>170</v>
      </c>
      <c r="AP118" s="182" t="s">
        <v>65</v>
      </c>
      <c r="AQ118" s="185" t="s">
        <v>64</v>
      </c>
      <c r="AR118" s="121"/>
      <c r="AT118" s="41"/>
      <c r="AU118" s="294"/>
      <c r="AX118" s="44" t="s">
        <v>226</v>
      </c>
      <c r="AY118" s="73">
        <f>SUM(AJ116:AJ154)</f>
        <v>526.80571428571432</v>
      </c>
    </row>
    <row r="119" spans="1:61" ht="41.25" thickBot="1">
      <c r="A119" s="121"/>
      <c r="B119" s="303"/>
      <c r="C119" s="85">
        <v>4</v>
      </c>
      <c r="D119" s="85" t="s">
        <v>501</v>
      </c>
      <c r="E119" s="151" t="s">
        <v>68</v>
      </c>
      <c r="F119" s="85">
        <v>1</v>
      </c>
      <c r="G119" s="85">
        <v>10</v>
      </c>
      <c r="H119" s="85">
        <v>0</v>
      </c>
      <c r="I119" s="85">
        <v>0</v>
      </c>
      <c r="J119" s="85">
        <v>0</v>
      </c>
      <c r="K119" s="85">
        <v>0</v>
      </c>
      <c r="L119" s="85">
        <v>0</v>
      </c>
      <c r="M119" s="85">
        <v>0</v>
      </c>
      <c r="N119" s="85">
        <v>0</v>
      </c>
      <c r="O119" s="85">
        <v>0</v>
      </c>
      <c r="P119" s="85">
        <v>0</v>
      </c>
      <c r="Q119" s="85">
        <v>30</v>
      </c>
      <c r="R119" s="85">
        <v>0</v>
      </c>
      <c r="S119" s="85">
        <v>0</v>
      </c>
      <c r="T119" s="85">
        <f t="shared" si="51"/>
        <v>30</v>
      </c>
      <c r="U119" s="89"/>
      <c r="V119" s="89">
        <f t="shared" si="37"/>
        <v>3.2628689787154594</v>
      </c>
      <c r="W119" s="89">
        <f t="shared" si="53"/>
        <v>0</v>
      </c>
      <c r="X119" s="89">
        <f t="shared" si="38"/>
        <v>0</v>
      </c>
      <c r="Y119" s="89">
        <f t="shared" si="46"/>
        <v>0</v>
      </c>
      <c r="Z119" s="89">
        <f t="shared" si="54"/>
        <v>0</v>
      </c>
      <c r="AA119" s="89">
        <f t="shared" si="39"/>
        <v>0</v>
      </c>
      <c r="AB119" s="89">
        <f t="shared" si="55"/>
        <v>0</v>
      </c>
      <c r="AC119" s="89">
        <f t="shared" si="40"/>
        <v>0</v>
      </c>
      <c r="AD119" s="89">
        <f t="shared" si="41"/>
        <v>0</v>
      </c>
      <c r="AE119" s="89">
        <f t="shared" si="42"/>
        <v>0</v>
      </c>
      <c r="AF119" s="89">
        <f t="shared" si="43"/>
        <v>0</v>
      </c>
      <c r="AG119" s="89">
        <f t="shared" si="44"/>
        <v>0</v>
      </c>
      <c r="AH119" s="89">
        <f t="shared" si="45"/>
        <v>0</v>
      </c>
      <c r="AI119" s="89">
        <v>0</v>
      </c>
      <c r="AJ119" s="89">
        <f>inputs!$E$28</f>
        <v>508.58571428571429</v>
      </c>
      <c r="AK119" s="89">
        <v>0</v>
      </c>
      <c r="AL119" s="153">
        <f t="shared" si="52"/>
        <v>511.84858326442975</v>
      </c>
      <c r="AM119" s="296"/>
      <c r="AN119" s="208"/>
      <c r="AO119" s="191" t="s">
        <v>169</v>
      </c>
      <c r="AP119" s="182">
        <v>4</v>
      </c>
      <c r="AQ119" s="185" t="s">
        <v>82</v>
      </c>
      <c r="AR119" s="120"/>
      <c r="AT119" s="42" t="s">
        <v>199</v>
      </c>
      <c r="AU119" s="43"/>
      <c r="AX119" s="44" t="s">
        <v>205</v>
      </c>
      <c r="AY119" s="73">
        <f>SUM(V116:V154)</f>
        <v>110.00965287407099</v>
      </c>
    </row>
    <row r="120" spans="1:61" ht="23.25">
      <c r="A120" s="121"/>
      <c r="B120" s="303"/>
      <c r="C120" s="85">
        <v>5</v>
      </c>
      <c r="D120" s="85" t="s">
        <v>502</v>
      </c>
      <c r="E120" s="151" t="s">
        <v>152</v>
      </c>
      <c r="F120" s="85">
        <v>1</v>
      </c>
      <c r="G120" s="85">
        <v>30</v>
      </c>
      <c r="H120" s="85">
        <v>0</v>
      </c>
      <c r="I120" s="85">
        <v>30</v>
      </c>
      <c r="J120" s="85">
        <v>30</v>
      </c>
      <c r="K120" s="85">
        <v>0</v>
      </c>
      <c r="L120" s="85">
        <v>0</v>
      </c>
      <c r="M120" s="85">
        <v>0</v>
      </c>
      <c r="N120" s="85">
        <v>0</v>
      </c>
      <c r="O120" s="85">
        <v>0</v>
      </c>
      <c r="P120" s="85">
        <v>0</v>
      </c>
      <c r="Q120" s="85">
        <v>0</v>
      </c>
      <c r="R120" s="85">
        <v>0</v>
      </c>
      <c r="S120" s="85">
        <v>0</v>
      </c>
      <c r="T120" s="85">
        <f t="shared" si="51"/>
        <v>60</v>
      </c>
      <c r="U120" s="89"/>
      <c r="V120" s="89">
        <f t="shared" si="37"/>
        <v>6.5257379574309189</v>
      </c>
      <c r="W120" s="89">
        <f t="shared" si="53"/>
        <v>0</v>
      </c>
      <c r="X120" s="89">
        <f t="shared" si="38"/>
        <v>32.299999999999997</v>
      </c>
      <c r="Y120" s="89">
        <f t="shared" si="46"/>
        <v>25.106250000000003</v>
      </c>
      <c r="Z120" s="89">
        <f t="shared" si="54"/>
        <v>12.417364278744502</v>
      </c>
      <c r="AA120" s="89">
        <f t="shared" si="39"/>
        <v>0</v>
      </c>
      <c r="AB120" s="89">
        <f t="shared" si="55"/>
        <v>0</v>
      </c>
      <c r="AC120" s="89">
        <f t="shared" si="40"/>
        <v>0</v>
      </c>
      <c r="AD120" s="89">
        <f t="shared" si="41"/>
        <v>0</v>
      </c>
      <c r="AE120" s="89">
        <f t="shared" si="42"/>
        <v>0</v>
      </c>
      <c r="AF120" s="89">
        <f t="shared" si="43"/>
        <v>0</v>
      </c>
      <c r="AG120" s="89">
        <f t="shared" si="44"/>
        <v>0</v>
      </c>
      <c r="AH120" s="89">
        <f t="shared" si="45"/>
        <v>0</v>
      </c>
      <c r="AI120" s="89">
        <v>0</v>
      </c>
      <c r="AJ120" s="89"/>
      <c r="AK120" s="89">
        <v>0</v>
      </c>
      <c r="AL120" s="153">
        <f t="shared" si="52"/>
        <v>76.34935223617542</v>
      </c>
      <c r="AM120" s="296"/>
      <c r="AN120" s="208"/>
      <c r="AO120" s="191" t="s">
        <v>63</v>
      </c>
      <c r="AP120" s="182">
        <v>1</v>
      </c>
      <c r="AQ120" s="185" t="s">
        <v>82</v>
      </c>
      <c r="AR120" s="120"/>
      <c r="AT120" s="44" t="s">
        <v>222</v>
      </c>
      <c r="AU120" s="45"/>
      <c r="AX120" s="44" t="s">
        <v>206</v>
      </c>
      <c r="AY120" s="73">
        <f>SUM(W116:W154)</f>
        <v>57.543749999999996</v>
      </c>
    </row>
    <row r="121" spans="1:61" ht="23.25">
      <c r="A121" s="121"/>
      <c r="B121" s="303"/>
      <c r="C121" s="85">
        <v>6</v>
      </c>
      <c r="D121" s="85" t="s">
        <v>503</v>
      </c>
      <c r="E121" s="151" t="s">
        <v>52</v>
      </c>
      <c r="F121" s="85">
        <v>1</v>
      </c>
      <c r="G121" s="85">
        <v>30</v>
      </c>
      <c r="H121" s="85">
        <v>0</v>
      </c>
      <c r="I121" s="85">
        <v>0</v>
      </c>
      <c r="J121" s="85">
        <v>5</v>
      </c>
      <c r="K121" s="85">
        <v>0</v>
      </c>
      <c r="L121" s="85">
        <v>0</v>
      </c>
      <c r="M121" s="85">
        <v>0</v>
      </c>
      <c r="N121" s="85">
        <v>0</v>
      </c>
      <c r="O121" s="85">
        <v>0</v>
      </c>
      <c r="P121" s="85">
        <v>0</v>
      </c>
      <c r="Q121" s="85">
        <v>0</v>
      </c>
      <c r="R121" s="85">
        <v>0</v>
      </c>
      <c r="S121" s="85">
        <v>0</v>
      </c>
      <c r="T121" s="85">
        <f t="shared" si="51"/>
        <v>5</v>
      </c>
      <c r="U121" s="89"/>
      <c r="V121" s="89">
        <f t="shared" si="37"/>
        <v>0.54381149645257654</v>
      </c>
      <c r="W121" s="89">
        <f t="shared" si="53"/>
        <v>0</v>
      </c>
      <c r="X121" s="89">
        <f t="shared" si="38"/>
        <v>0</v>
      </c>
      <c r="Y121" s="89">
        <f t="shared" si="46"/>
        <v>4.1843750000000011</v>
      </c>
      <c r="Z121" s="89">
        <f t="shared" si="54"/>
        <v>0</v>
      </c>
      <c r="AA121" s="89">
        <f t="shared" si="39"/>
        <v>0</v>
      </c>
      <c r="AB121" s="89">
        <f t="shared" si="55"/>
        <v>0</v>
      </c>
      <c r="AC121" s="89">
        <f t="shared" si="40"/>
        <v>0</v>
      </c>
      <c r="AD121" s="89">
        <f t="shared" si="41"/>
        <v>0</v>
      </c>
      <c r="AE121" s="89">
        <f t="shared" si="42"/>
        <v>0</v>
      </c>
      <c r="AF121" s="89">
        <f t="shared" si="43"/>
        <v>0</v>
      </c>
      <c r="AG121" s="89">
        <f t="shared" si="44"/>
        <v>0</v>
      </c>
      <c r="AH121" s="89">
        <f t="shared" si="45"/>
        <v>0</v>
      </c>
      <c r="AI121" s="89">
        <v>0</v>
      </c>
      <c r="AJ121" s="89"/>
      <c r="AK121" s="89">
        <f>inputs!$E$37*$F$81</f>
        <v>26.86</v>
      </c>
      <c r="AL121" s="153">
        <f t="shared" si="52"/>
        <v>31.588186496452579</v>
      </c>
      <c r="AM121" s="296"/>
      <c r="AN121" s="208"/>
      <c r="AO121" s="192" t="s">
        <v>232</v>
      </c>
      <c r="AP121" s="85">
        <v>6</v>
      </c>
      <c r="AQ121" s="186" t="s">
        <v>241</v>
      </c>
      <c r="AR121" s="120"/>
      <c r="AT121" s="44" t="s">
        <v>200</v>
      </c>
      <c r="AU121" s="45">
        <f>SUM(AL116:AL129)</f>
        <v>853.92500092329203</v>
      </c>
      <c r="AX121" s="44" t="s">
        <v>279</v>
      </c>
      <c r="AY121" s="73">
        <f>SUM(X116:X154)</f>
        <v>204.56666666666666</v>
      </c>
    </row>
    <row r="122" spans="1:61" ht="23.25">
      <c r="A122" s="121"/>
      <c r="B122" s="303"/>
      <c r="C122" s="85">
        <v>7</v>
      </c>
      <c r="D122" s="85" t="s">
        <v>504</v>
      </c>
      <c r="E122" s="151"/>
      <c r="F122" s="85">
        <v>1</v>
      </c>
      <c r="G122" s="85">
        <v>0</v>
      </c>
      <c r="H122" s="85">
        <v>0</v>
      </c>
      <c r="I122" s="85">
        <v>0</v>
      </c>
      <c r="J122" s="85">
        <v>0</v>
      </c>
      <c r="K122" s="85">
        <v>0</v>
      </c>
      <c r="L122" s="85">
        <v>0</v>
      </c>
      <c r="M122" s="85">
        <v>0</v>
      </c>
      <c r="N122" s="85">
        <v>0</v>
      </c>
      <c r="O122" s="85">
        <v>0</v>
      </c>
      <c r="P122" s="85">
        <v>0</v>
      </c>
      <c r="Q122" s="85">
        <v>0</v>
      </c>
      <c r="R122" s="85">
        <v>0</v>
      </c>
      <c r="S122" s="85">
        <v>0</v>
      </c>
      <c r="T122" s="85">
        <f t="shared" ref="T122:T154" si="56">SUM(H122:S122)*F122</f>
        <v>0</v>
      </c>
      <c r="U122" s="89"/>
      <c r="V122" s="89">
        <f t="shared" si="37"/>
        <v>0</v>
      </c>
      <c r="W122" s="89">
        <f t="shared" si="53"/>
        <v>0</v>
      </c>
      <c r="X122" s="89">
        <f t="shared" si="38"/>
        <v>0</v>
      </c>
      <c r="Y122" s="89">
        <f t="shared" si="46"/>
        <v>0</v>
      </c>
      <c r="Z122" s="89">
        <f t="shared" si="54"/>
        <v>0</v>
      </c>
      <c r="AA122" s="89">
        <f t="shared" si="39"/>
        <v>0</v>
      </c>
      <c r="AB122" s="89">
        <f t="shared" si="55"/>
        <v>0</v>
      </c>
      <c r="AC122" s="89">
        <f t="shared" si="40"/>
        <v>0</v>
      </c>
      <c r="AD122" s="89">
        <f t="shared" si="41"/>
        <v>0</v>
      </c>
      <c r="AE122" s="89">
        <f t="shared" si="42"/>
        <v>0</v>
      </c>
      <c r="AF122" s="89">
        <f t="shared" si="43"/>
        <v>0</v>
      </c>
      <c r="AG122" s="89">
        <f t="shared" si="44"/>
        <v>0</v>
      </c>
      <c r="AH122" s="89">
        <f t="shared" si="45"/>
        <v>0</v>
      </c>
      <c r="AI122" s="89">
        <v>0</v>
      </c>
      <c r="AJ122" s="89"/>
      <c r="AK122" s="89">
        <v>0</v>
      </c>
      <c r="AL122" s="153">
        <f t="shared" si="52"/>
        <v>0</v>
      </c>
      <c r="AM122" s="296"/>
      <c r="AN122" s="208"/>
      <c r="AO122" s="192" t="s">
        <v>236</v>
      </c>
      <c r="AP122" s="85">
        <f>AP132</f>
        <v>14.837758112094393</v>
      </c>
      <c r="AQ122" s="186" t="s">
        <v>233</v>
      </c>
      <c r="AR122" s="120"/>
      <c r="AT122" s="44" t="s">
        <v>201</v>
      </c>
      <c r="AU122" s="45">
        <f>SUM(AL130:AL137)</f>
        <v>995.38314410897203</v>
      </c>
      <c r="AX122" s="44" t="s">
        <v>122</v>
      </c>
      <c r="AY122" s="73">
        <f>SUM(Y116:Y154)</f>
        <v>288.72187500000007</v>
      </c>
    </row>
    <row r="123" spans="1:61" ht="23.25">
      <c r="A123" s="121"/>
      <c r="B123" s="303"/>
      <c r="C123" s="85">
        <v>8</v>
      </c>
      <c r="D123" s="85" t="s">
        <v>468</v>
      </c>
      <c r="E123" s="151" t="s">
        <v>52</v>
      </c>
      <c r="F123" s="85">
        <f>IF(AP127="no", 0, 1)</f>
        <v>0</v>
      </c>
      <c r="G123" s="85">
        <v>0</v>
      </c>
      <c r="H123" s="85">
        <v>0</v>
      </c>
      <c r="I123" s="85">
        <v>0</v>
      </c>
      <c r="J123" s="85">
        <v>30</v>
      </c>
      <c r="K123" s="85">
        <v>0</v>
      </c>
      <c r="L123" s="85">
        <v>0</v>
      </c>
      <c r="M123" s="85">
        <v>0</v>
      </c>
      <c r="N123" s="85">
        <v>0</v>
      </c>
      <c r="O123" s="85">
        <v>0</v>
      </c>
      <c r="P123" s="85">
        <v>0</v>
      </c>
      <c r="Q123" s="85">
        <v>0</v>
      </c>
      <c r="R123" s="85">
        <v>0</v>
      </c>
      <c r="S123" s="85">
        <v>0</v>
      </c>
      <c r="T123" s="85">
        <f t="shared" si="56"/>
        <v>0</v>
      </c>
      <c r="U123" s="89"/>
      <c r="V123" s="89">
        <f t="shared" si="37"/>
        <v>0</v>
      </c>
      <c r="W123" s="89">
        <f t="shared" si="53"/>
        <v>0</v>
      </c>
      <c r="X123" s="89">
        <f t="shared" si="38"/>
        <v>0</v>
      </c>
      <c r="Y123" s="89">
        <f t="shared" si="46"/>
        <v>0</v>
      </c>
      <c r="Z123" s="89">
        <f t="shared" si="54"/>
        <v>0</v>
      </c>
      <c r="AA123" s="89">
        <f t="shared" si="39"/>
        <v>0</v>
      </c>
      <c r="AB123" s="89">
        <f t="shared" si="55"/>
        <v>0</v>
      </c>
      <c r="AC123" s="89">
        <f t="shared" si="40"/>
        <v>0</v>
      </c>
      <c r="AD123" s="89">
        <f t="shared" si="41"/>
        <v>0</v>
      </c>
      <c r="AE123" s="89">
        <f t="shared" si="42"/>
        <v>0</v>
      </c>
      <c r="AF123" s="89">
        <f t="shared" si="43"/>
        <v>0</v>
      </c>
      <c r="AG123" s="89">
        <f t="shared" si="44"/>
        <v>0</v>
      </c>
      <c r="AH123" s="89">
        <f t="shared" si="45"/>
        <v>0</v>
      </c>
      <c r="AI123" s="89">
        <v>0</v>
      </c>
      <c r="AJ123" s="89"/>
      <c r="AK123" s="89">
        <v>0</v>
      </c>
      <c r="AL123" s="153">
        <f t="shared" si="52"/>
        <v>0</v>
      </c>
      <c r="AM123" s="296"/>
      <c r="AN123" s="208"/>
      <c r="AO123" s="192" t="s">
        <v>237</v>
      </c>
      <c r="AP123" s="85">
        <f>AP133</f>
        <v>6.2</v>
      </c>
      <c r="AQ123" s="186" t="s">
        <v>307</v>
      </c>
      <c r="AR123" s="120"/>
      <c r="AT123" s="44" t="s">
        <v>223</v>
      </c>
      <c r="AU123" s="45">
        <f>SUM(AL138:AL147)</f>
        <v>466.18242282837031</v>
      </c>
      <c r="AX123" s="44" t="s">
        <v>207</v>
      </c>
      <c r="AY123" s="73">
        <f>SUM(Z116:Z154)</f>
        <v>91.060671377459698</v>
      </c>
    </row>
    <row r="124" spans="1:61" ht="23.25">
      <c r="A124" s="121"/>
      <c r="B124" s="303"/>
      <c r="C124" s="85">
        <v>9</v>
      </c>
      <c r="D124" s="85" t="s">
        <v>501</v>
      </c>
      <c r="E124" s="151"/>
      <c r="F124" s="85">
        <v>1</v>
      </c>
      <c r="G124" s="85">
        <v>0</v>
      </c>
      <c r="H124" s="85">
        <v>0</v>
      </c>
      <c r="I124" s="85">
        <v>0</v>
      </c>
      <c r="J124" s="85">
        <v>0</v>
      </c>
      <c r="K124" s="85">
        <v>0</v>
      </c>
      <c r="L124" s="85">
        <v>0</v>
      </c>
      <c r="M124" s="85">
        <v>0</v>
      </c>
      <c r="N124" s="85">
        <v>0</v>
      </c>
      <c r="O124" s="85">
        <v>0</v>
      </c>
      <c r="P124" s="85">
        <v>0</v>
      </c>
      <c r="Q124" s="85">
        <v>0</v>
      </c>
      <c r="R124" s="85">
        <v>0</v>
      </c>
      <c r="S124" s="85">
        <v>0</v>
      </c>
      <c r="T124" s="85">
        <f t="shared" si="56"/>
        <v>0</v>
      </c>
      <c r="U124" s="89"/>
      <c r="V124" s="89">
        <f t="shared" si="37"/>
        <v>0</v>
      </c>
      <c r="W124" s="89">
        <f t="shared" si="53"/>
        <v>0</v>
      </c>
      <c r="X124" s="89">
        <f t="shared" si="38"/>
        <v>0</v>
      </c>
      <c r="Y124" s="89">
        <f t="shared" si="46"/>
        <v>0</v>
      </c>
      <c r="Z124" s="89">
        <f t="shared" si="54"/>
        <v>0</v>
      </c>
      <c r="AA124" s="89">
        <f t="shared" si="39"/>
        <v>0</v>
      </c>
      <c r="AB124" s="89">
        <f t="shared" si="55"/>
        <v>0</v>
      </c>
      <c r="AC124" s="89">
        <f t="shared" si="40"/>
        <v>0</v>
      </c>
      <c r="AD124" s="89">
        <f t="shared" si="41"/>
        <v>0</v>
      </c>
      <c r="AE124" s="89">
        <f t="shared" si="42"/>
        <v>0</v>
      </c>
      <c r="AF124" s="89">
        <f t="shared" si="43"/>
        <v>0</v>
      </c>
      <c r="AG124" s="89">
        <f t="shared" si="44"/>
        <v>0</v>
      </c>
      <c r="AH124" s="89">
        <f t="shared" si="45"/>
        <v>0</v>
      </c>
      <c r="AI124" s="89">
        <v>0</v>
      </c>
      <c r="AJ124" s="89"/>
      <c r="AK124" s="89">
        <v>0</v>
      </c>
      <c r="AL124" s="153">
        <f t="shared" si="52"/>
        <v>0</v>
      </c>
      <c r="AM124" s="296"/>
      <c r="AN124" s="208"/>
      <c r="AO124" s="191" t="s">
        <v>238</v>
      </c>
      <c r="AP124" s="182">
        <v>20</v>
      </c>
      <c r="AQ124" s="185"/>
      <c r="AR124" s="120"/>
      <c r="AT124" s="44" t="s">
        <v>202</v>
      </c>
      <c r="AU124" s="45">
        <f>AL148</f>
        <v>293.98836278362671</v>
      </c>
      <c r="AX124" s="44" t="s">
        <v>123</v>
      </c>
      <c r="AY124" s="73">
        <f>SUM(AA116:AA154)</f>
        <v>0</v>
      </c>
    </row>
    <row r="125" spans="1:61" ht="23.25">
      <c r="A125" s="121"/>
      <c r="B125" s="303"/>
      <c r="C125" s="85">
        <v>10</v>
      </c>
      <c r="D125" s="85" t="s">
        <v>502</v>
      </c>
      <c r="E125" s="151" t="s">
        <v>152</v>
      </c>
      <c r="F125" s="85">
        <v>1</v>
      </c>
      <c r="G125" s="85">
        <v>0</v>
      </c>
      <c r="H125" s="85">
        <v>0</v>
      </c>
      <c r="I125" s="85">
        <v>30</v>
      </c>
      <c r="J125" s="85">
        <v>30</v>
      </c>
      <c r="K125" s="85">
        <v>0</v>
      </c>
      <c r="L125" s="85">
        <v>0</v>
      </c>
      <c r="M125" s="85">
        <v>0</v>
      </c>
      <c r="N125" s="85">
        <v>0</v>
      </c>
      <c r="O125" s="85">
        <v>0</v>
      </c>
      <c r="P125" s="85">
        <v>0</v>
      </c>
      <c r="Q125" s="85">
        <v>0</v>
      </c>
      <c r="R125" s="85">
        <v>0</v>
      </c>
      <c r="S125" s="85">
        <v>0</v>
      </c>
      <c r="T125" s="85">
        <f t="shared" si="56"/>
        <v>60</v>
      </c>
      <c r="U125" s="89"/>
      <c r="V125" s="89">
        <f t="shared" si="37"/>
        <v>6.5257379574309189</v>
      </c>
      <c r="W125" s="89">
        <f t="shared" si="53"/>
        <v>0</v>
      </c>
      <c r="X125" s="89">
        <f t="shared" si="38"/>
        <v>32.299999999999997</v>
      </c>
      <c r="Y125" s="89">
        <f t="shared" si="46"/>
        <v>25.106250000000003</v>
      </c>
      <c r="Z125" s="89">
        <f t="shared" si="54"/>
        <v>12.417364278744502</v>
      </c>
      <c r="AA125" s="89">
        <f t="shared" si="39"/>
        <v>0</v>
      </c>
      <c r="AB125" s="89">
        <f t="shared" si="55"/>
        <v>0</v>
      </c>
      <c r="AC125" s="89">
        <f t="shared" si="40"/>
        <v>0</v>
      </c>
      <c r="AD125" s="89">
        <f t="shared" si="41"/>
        <v>0</v>
      </c>
      <c r="AE125" s="89">
        <f t="shared" si="42"/>
        <v>0</v>
      </c>
      <c r="AF125" s="89">
        <f t="shared" si="43"/>
        <v>0</v>
      </c>
      <c r="AG125" s="89">
        <f t="shared" si="44"/>
        <v>0</v>
      </c>
      <c r="AH125" s="89">
        <f t="shared" si="45"/>
        <v>0</v>
      </c>
      <c r="AI125" s="89">
        <v>0</v>
      </c>
      <c r="AJ125" s="89"/>
      <c r="AK125" s="89">
        <v>0</v>
      </c>
      <c r="AL125" s="153">
        <f t="shared" si="52"/>
        <v>76.34935223617542</v>
      </c>
      <c r="AM125" s="296"/>
      <c r="AN125" s="208"/>
      <c r="AO125" s="192" t="s">
        <v>164</v>
      </c>
      <c r="AP125" s="85" t="s">
        <v>18</v>
      </c>
      <c r="AQ125" s="186" t="s">
        <v>173</v>
      </c>
      <c r="AR125" s="120"/>
      <c r="AT125" s="44" t="s">
        <v>224</v>
      </c>
      <c r="AU125" s="45">
        <f>SUM(AL149:AL152)</f>
        <v>207.55321273071434</v>
      </c>
      <c r="AX125" s="44" t="s">
        <v>208</v>
      </c>
      <c r="AY125" s="73">
        <f>SUM(AB116:AB154)</f>
        <v>806.58359109672392</v>
      </c>
    </row>
    <row r="126" spans="1:61" ht="24" thickBot="1">
      <c r="A126" s="121"/>
      <c r="B126" s="303"/>
      <c r="C126" s="85">
        <v>11</v>
      </c>
      <c r="D126" s="85" t="s">
        <v>502</v>
      </c>
      <c r="E126" s="151" t="s">
        <v>152</v>
      </c>
      <c r="F126" s="85">
        <v>1</v>
      </c>
      <c r="G126" s="85">
        <v>0</v>
      </c>
      <c r="H126" s="85">
        <v>0</v>
      </c>
      <c r="I126" s="85">
        <v>30</v>
      </c>
      <c r="J126" s="85">
        <v>30</v>
      </c>
      <c r="K126" s="85">
        <v>0</v>
      </c>
      <c r="L126" s="85">
        <v>0</v>
      </c>
      <c r="M126" s="85">
        <v>0</v>
      </c>
      <c r="N126" s="85">
        <v>0</v>
      </c>
      <c r="O126" s="85">
        <v>0</v>
      </c>
      <c r="P126" s="85">
        <v>0</v>
      </c>
      <c r="Q126" s="85">
        <v>0</v>
      </c>
      <c r="R126" s="85">
        <v>0</v>
      </c>
      <c r="S126" s="85">
        <v>0</v>
      </c>
      <c r="T126" s="85">
        <f t="shared" si="56"/>
        <v>60</v>
      </c>
      <c r="U126" s="89"/>
      <c r="V126" s="89">
        <f t="shared" si="37"/>
        <v>6.5257379574309189</v>
      </c>
      <c r="W126" s="89">
        <f t="shared" si="53"/>
        <v>0</v>
      </c>
      <c r="X126" s="89">
        <f>I126*$X$3*F126</f>
        <v>32.299999999999997</v>
      </c>
      <c r="Y126" s="89">
        <f t="shared" si="46"/>
        <v>25.106250000000003</v>
      </c>
      <c r="Z126" s="89">
        <f t="shared" si="54"/>
        <v>12.417364278744502</v>
      </c>
      <c r="AA126" s="89">
        <f t="shared" si="39"/>
        <v>0</v>
      </c>
      <c r="AB126" s="89">
        <f t="shared" si="55"/>
        <v>0</v>
      </c>
      <c r="AC126" s="89">
        <f t="shared" si="40"/>
        <v>0</v>
      </c>
      <c r="AD126" s="89">
        <f t="shared" si="41"/>
        <v>0</v>
      </c>
      <c r="AE126" s="89">
        <f t="shared" si="42"/>
        <v>0</v>
      </c>
      <c r="AF126" s="89">
        <f t="shared" si="43"/>
        <v>0</v>
      </c>
      <c r="AG126" s="89">
        <f t="shared" si="44"/>
        <v>0</v>
      </c>
      <c r="AH126" s="89">
        <f t="shared" si="45"/>
        <v>0</v>
      </c>
      <c r="AI126" s="89">
        <v>0</v>
      </c>
      <c r="AJ126" s="89"/>
      <c r="AK126" s="89">
        <v>0</v>
      </c>
      <c r="AL126" s="153">
        <f>SUM(V126:AK126)</f>
        <v>76.34935223617542</v>
      </c>
      <c r="AM126" s="296"/>
      <c r="AN126" s="208"/>
      <c r="AO126" s="192" t="s">
        <v>165</v>
      </c>
      <c r="AP126" s="85" t="s">
        <v>18</v>
      </c>
      <c r="AQ126" s="186" t="s">
        <v>173</v>
      </c>
      <c r="AR126" s="120"/>
      <c r="AT126" s="44" t="s">
        <v>203</v>
      </c>
      <c r="AU126" s="50">
        <f>SUM(AL153:AL154)</f>
        <v>174.84465335426313</v>
      </c>
      <c r="AX126" s="44" t="s">
        <v>209</v>
      </c>
      <c r="AY126" s="73">
        <f>SUM(AC116:AC154)</f>
        <v>125.53636817462353</v>
      </c>
    </row>
    <row r="127" spans="1:61" ht="24" thickTop="1">
      <c r="A127" s="121"/>
      <c r="B127" s="303"/>
      <c r="C127" s="85">
        <v>12</v>
      </c>
      <c r="D127" s="85" t="s">
        <v>503</v>
      </c>
      <c r="E127" s="151" t="s">
        <v>52</v>
      </c>
      <c r="F127" s="85">
        <f>AP120</f>
        <v>1</v>
      </c>
      <c r="G127" s="85">
        <v>15</v>
      </c>
      <c r="H127" s="85">
        <v>0</v>
      </c>
      <c r="I127" s="85">
        <v>0</v>
      </c>
      <c r="J127" s="85">
        <v>0</v>
      </c>
      <c r="K127" s="85">
        <v>0</v>
      </c>
      <c r="L127" s="85">
        <v>0</v>
      </c>
      <c r="M127" s="85">
        <v>0</v>
      </c>
      <c r="N127" s="85">
        <v>0</v>
      </c>
      <c r="O127" s="85">
        <v>0</v>
      </c>
      <c r="P127" s="85">
        <v>0</v>
      </c>
      <c r="Q127" s="85">
        <v>0</v>
      </c>
      <c r="R127" s="85">
        <v>0</v>
      </c>
      <c r="S127" s="85">
        <v>0</v>
      </c>
      <c r="T127" s="85">
        <f t="shared" si="56"/>
        <v>0</v>
      </c>
      <c r="U127" s="89"/>
      <c r="V127" s="89">
        <f t="shared" si="37"/>
        <v>0</v>
      </c>
      <c r="W127" s="89">
        <f t="shared" si="53"/>
        <v>0</v>
      </c>
      <c r="X127" s="89">
        <f t="shared" ref="X127:X166" si="57">I127*$X$3*F127</f>
        <v>0</v>
      </c>
      <c r="Y127" s="89">
        <f t="shared" si="46"/>
        <v>0</v>
      </c>
      <c r="Z127" s="89">
        <f t="shared" si="54"/>
        <v>0</v>
      </c>
      <c r="AA127" s="89">
        <f t="shared" si="39"/>
        <v>0</v>
      </c>
      <c r="AB127" s="89">
        <f t="shared" si="55"/>
        <v>0</v>
      </c>
      <c r="AC127" s="89">
        <f t="shared" si="40"/>
        <v>0</v>
      </c>
      <c r="AD127" s="89">
        <f t="shared" si="41"/>
        <v>0</v>
      </c>
      <c r="AE127" s="89">
        <f t="shared" si="42"/>
        <v>0</v>
      </c>
      <c r="AF127" s="89">
        <f t="shared" si="43"/>
        <v>0</v>
      </c>
      <c r="AG127" s="89">
        <f t="shared" si="44"/>
        <v>0</v>
      </c>
      <c r="AH127" s="89">
        <f t="shared" si="45"/>
        <v>0</v>
      </c>
      <c r="AI127" s="89">
        <v>0</v>
      </c>
      <c r="AJ127" s="89"/>
      <c r="AK127" s="89">
        <f>inputs!$E$37*$F$81</f>
        <v>26.86</v>
      </c>
      <c r="AL127" s="153">
        <f t="shared" ref="AL127:AL152" si="58">SUM(V127:AK127)*F127</f>
        <v>26.86</v>
      </c>
      <c r="AM127" s="296"/>
      <c r="AN127" s="208"/>
      <c r="AO127" s="192" t="s">
        <v>239</v>
      </c>
      <c r="AP127" s="85" t="s">
        <v>18</v>
      </c>
      <c r="AQ127" s="186" t="s">
        <v>57</v>
      </c>
      <c r="AR127" s="120"/>
      <c r="AT127" s="47" t="s">
        <v>204</v>
      </c>
      <c r="AU127" s="37">
        <f>SUM(AU120:AU126)</f>
        <v>2991.8767967292383</v>
      </c>
      <c r="AX127" s="44" t="s">
        <v>191</v>
      </c>
      <c r="AY127" s="73">
        <f>SUM(AD116:AD154)</f>
        <v>299.62673765535203</v>
      </c>
    </row>
    <row r="128" spans="1:61" ht="23.25">
      <c r="A128" s="121"/>
      <c r="B128" s="303"/>
      <c r="C128" s="85">
        <v>13</v>
      </c>
      <c r="D128" s="85" t="s">
        <v>505</v>
      </c>
      <c r="E128" s="151" t="s">
        <v>152</v>
      </c>
      <c r="F128" s="85">
        <f>IF(AP126="yes", 1, 0)</f>
        <v>0</v>
      </c>
      <c r="G128" s="85">
        <v>30</v>
      </c>
      <c r="H128" s="85">
        <v>30</v>
      </c>
      <c r="I128" s="85">
        <v>0</v>
      </c>
      <c r="J128" s="85">
        <v>0</v>
      </c>
      <c r="K128" s="85">
        <v>0</v>
      </c>
      <c r="L128" s="85">
        <v>0</v>
      </c>
      <c r="M128" s="85">
        <v>0</v>
      </c>
      <c r="N128" s="85">
        <v>0</v>
      </c>
      <c r="O128" s="85">
        <v>0</v>
      </c>
      <c r="P128" s="85">
        <v>0</v>
      </c>
      <c r="Q128" s="85">
        <v>0</v>
      </c>
      <c r="R128" s="85">
        <v>0</v>
      </c>
      <c r="S128" s="85">
        <v>0</v>
      </c>
      <c r="T128" s="85">
        <f t="shared" si="56"/>
        <v>0</v>
      </c>
      <c r="U128" s="89"/>
      <c r="V128" s="89">
        <f t="shared" si="37"/>
        <v>0</v>
      </c>
      <c r="W128" s="89">
        <f t="shared" si="53"/>
        <v>0</v>
      </c>
      <c r="X128" s="89">
        <f t="shared" si="57"/>
        <v>0</v>
      </c>
      <c r="Y128" s="89">
        <f t="shared" si="46"/>
        <v>0</v>
      </c>
      <c r="Z128" s="89">
        <f t="shared" si="54"/>
        <v>0</v>
      </c>
      <c r="AA128" s="89">
        <f t="shared" si="39"/>
        <v>0</v>
      </c>
      <c r="AB128" s="89">
        <f t="shared" si="55"/>
        <v>0</v>
      </c>
      <c r="AC128" s="89">
        <f t="shared" si="40"/>
        <v>0</v>
      </c>
      <c r="AD128" s="89">
        <f t="shared" si="41"/>
        <v>0</v>
      </c>
      <c r="AE128" s="89">
        <f t="shared" si="42"/>
        <v>0</v>
      </c>
      <c r="AF128" s="89">
        <f t="shared" si="43"/>
        <v>0</v>
      </c>
      <c r="AG128" s="89">
        <f t="shared" si="44"/>
        <v>0</v>
      </c>
      <c r="AH128" s="89">
        <f t="shared" si="45"/>
        <v>0</v>
      </c>
      <c r="AI128" s="89">
        <v>0</v>
      </c>
      <c r="AJ128" s="89"/>
      <c r="AK128" s="89">
        <v>0</v>
      </c>
      <c r="AL128" s="153">
        <f t="shared" si="58"/>
        <v>0</v>
      </c>
      <c r="AM128" s="296"/>
      <c r="AN128" s="208"/>
      <c r="AO128" s="192" t="s">
        <v>176</v>
      </c>
      <c r="AP128" s="85" t="s">
        <v>213</v>
      </c>
      <c r="AQ128" s="186" t="s">
        <v>175</v>
      </c>
      <c r="AR128" s="120"/>
      <c r="AX128" s="44" t="s">
        <v>192</v>
      </c>
      <c r="AY128" s="73">
        <f>SUM(AE116:AE154)</f>
        <v>210.51535521478897</v>
      </c>
    </row>
    <row r="129" spans="1:51" ht="23.25">
      <c r="A129" s="121"/>
      <c r="B129" s="303"/>
      <c r="C129" s="85">
        <v>14</v>
      </c>
      <c r="D129" s="85" t="s">
        <v>506</v>
      </c>
      <c r="E129" s="151"/>
      <c r="F129" s="85">
        <f>1</f>
        <v>1</v>
      </c>
      <c r="G129" s="85">
        <v>30</v>
      </c>
      <c r="H129" s="85">
        <v>0</v>
      </c>
      <c r="I129" s="85">
        <v>0</v>
      </c>
      <c r="J129" s="85">
        <v>0</v>
      </c>
      <c r="K129" s="85">
        <v>0</v>
      </c>
      <c r="L129" s="85">
        <v>0</v>
      </c>
      <c r="M129" s="85">
        <v>0</v>
      </c>
      <c r="N129" s="85">
        <v>0</v>
      </c>
      <c r="O129" s="85">
        <v>0</v>
      </c>
      <c r="P129" s="85">
        <v>0</v>
      </c>
      <c r="Q129" s="85">
        <v>0</v>
      </c>
      <c r="R129" s="85">
        <v>0</v>
      </c>
      <c r="S129" s="85">
        <v>0</v>
      </c>
      <c r="T129" s="85">
        <f t="shared" si="56"/>
        <v>0</v>
      </c>
      <c r="U129" s="89"/>
      <c r="V129" s="89">
        <f t="shared" si="37"/>
        <v>0</v>
      </c>
      <c r="W129" s="89">
        <f t="shared" si="53"/>
        <v>0</v>
      </c>
      <c r="X129" s="89">
        <f t="shared" si="57"/>
        <v>0</v>
      </c>
      <c r="Y129" s="89">
        <f t="shared" si="46"/>
        <v>0</v>
      </c>
      <c r="Z129" s="89">
        <f t="shared" si="54"/>
        <v>0</v>
      </c>
      <c r="AA129" s="89">
        <f t="shared" si="39"/>
        <v>0</v>
      </c>
      <c r="AB129" s="89">
        <f t="shared" si="55"/>
        <v>0</v>
      </c>
      <c r="AC129" s="89">
        <f t="shared" si="40"/>
        <v>0</v>
      </c>
      <c r="AD129" s="89">
        <f t="shared" si="41"/>
        <v>0</v>
      </c>
      <c r="AE129" s="89">
        <f t="shared" si="42"/>
        <v>0</v>
      </c>
      <c r="AF129" s="89">
        <f t="shared" si="43"/>
        <v>0</v>
      </c>
      <c r="AG129" s="89">
        <f t="shared" si="44"/>
        <v>0</v>
      </c>
      <c r="AH129" s="89">
        <f t="shared" si="45"/>
        <v>0</v>
      </c>
      <c r="AI129" s="89">
        <v>0</v>
      </c>
      <c r="AJ129" s="89">
        <f>inputs!$E$30*F129</f>
        <v>18.22</v>
      </c>
      <c r="AK129" s="89">
        <v>0</v>
      </c>
      <c r="AL129" s="153">
        <f t="shared" si="58"/>
        <v>18.22</v>
      </c>
      <c r="AM129" s="296"/>
      <c r="AN129" s="208"/>
      <c r="AO129" s="192" t="s">
        <v>240</v>
      </c>
      <c r="AP129" s="85">
        <f>AP135</f>
        <v>6.4423076923076925</v>
      </c>
      <c r="AQ129" s="186" t="s">
        <v>82</v>
      </c>
      <c r="AR129" s="120"/>
      <c r="AX129" s="44" t="s">
        <v>193</v>
      </c>
      <c r="AY129" s="73">
        <f>SUM(AF116:AF154)</f>
        <v>40.339411050505049</v>
      </c>
    </row>
    <row r="130" spans="1:51" ht="23.25">
      <c r="A130" s="121"/>
      <c r="B130" s="303"/>
      <c r="C130" s="85">
        <v>15</v>
      </c>
      <c r="D130" s="85" t="s">
        <v>507</v>
      </c>
      <c r="E130" s="151" t="s">
        <v>156</v>
      </c>
      <c r="F130" s="85">
        <f>IF($AP$86="failed", 0, 1)</f>
        <v>1</v>
      </c>
      <c r="G130" s="85">
        <v>30</v>
      </c>
      <c r="H130" s="85">
        <v>0</v>
      </c>
      <c r="I130" s="85">
        <v>0</v>
      </c>
      <c r="J130" s="85">
        <v>0</v>
      </c>
      <c r="K130" s="85">
        <v>5</v>
      </c>
      <c r="L130" s="85">
        <v>0</v>
      </c>
      <c r="M130" s="85">
        <v>0</v>
      </c>
      <c r="N130" s="85">
        <v>0</v>
      </c>
      <c r="O130" s="85">
        <v>0</v>
      </c>
      <c r="P130" s="85">
        <v>0</v>
      </c>
      <c r="Q130" s="85">
        <v>0</v>
      </c>
      <c r="R130" s="85">
        <v>0</v>
      </c>
      <c r="S130" s="85">
        <v>0</v>
      </c>
      <c r="T130" s="85">
        <f t="shared" si="56"/>
        <v>5</v>
      </c>
      <c r="U130" s="89"/>
      <c r="V130" s="89">
        <f t="shared" si="37"/>
        <v>0.54381149645257654</v>
      </c>
      <c r="W130" s="89">
        <f t="shared" si="53"/>
        <v>0</v>
      </c>
      <c r="X130" s="89">
        <f t="shared" si="57"/>
        <v>0</v>
      </c>
      <c r="Y130" s="89">
        <f t="shared" si="46"/>
        <v>0</v>
      </c>
      <c r="Z130" s="89">
        <f t="shared" si="54"/>
        <v>0</v>
      </c>
      <c r="AA130" s="89">
        <f t="shared" si="39"/>
        <v>0</v>
      </c>
      <c r="AB130" s="89">
        <f t="shared" si="55"/>
        <v>10.435305059523809</v>
      </c>
      <c r="AC130" s="89">
        <f t="shared" si="40"/>
        <v>0</v>
      </c>
      <c r="AD130" s="89">
        <f t="shared" si="41"/>
        <v>9.2263814520508731</v>
      </c>
      <c r="AE130" s="89">
        <f t="shared" si="42"/>
        <v>0</v>
      </c>
      <c r="AF130" s="89">
        <f t="shared" si="43"/>
        <v>0</v>
      </c>
      <c r="AG130" s="89">
        <f t="shared" si="44"/>
        <v>0</v>
      </c>
      <c r="AH130" s="89">
        <f t="shared" si="45"/>
        <v>0</v>
      </c>
      <c r="AI130" s="89">
        <v>0</v>
      </c>
      <c r="AJ130" s="89"/>
      <c r="AK130" s="89">
        <v>0</v>
      </c>
      <c r="AL130" s="154">
        <f t="shared" si="58"/>
        <v>20.205498008027259</v>
      </c>
      <c r="AM130" s="297" t="s">
        <v>367</v>
      </c>
      <c r="AN130" s="121"/>
      <c r="AO130" s="126"/>
      <c r="AP130" s="3"/>
      <c r="AQ130" s="187"/>
      <c r="AR130" s="120"/>
      <c r="AX130" s="44" t="s">
        <v>146</v>
      </c>
      <c r="AY130" s="73">
        <f>SUM(AG116:AG154)</f>
        <v>0</v>
      </c>
    </row>
    <row r="131" spans="1:51" ht="24" thickBot="1">
      <c r="A131" s="121"/>
      <c r="B131" s="303"/>
      <c r="C131" s="85">
        <v>16</v>
      </c>
      <c r="D131" s="85" t="s">
        <v>508</v>
      </c>
      <c r="E131" s="151" t="s">
        <v>148</v>
      </c>
      <c r="F131" s="85">
        <f>IF($AP$86="failed", 0, 1)</f>
        <v>1</v>
      </c>
      <c r="G131" s="85">
        <v>10</v>
      </c>
      <c r="H131" s="85">
        <v>0</v>
      </c>
      <c r="I131" s="85">
        <v>0</v>
      </c>
      <c r="J131" s="85">
        <v>0</v>
      </c>
      <c r="K131" s="85">
        <v>6.1</v>
      </c>
      <c r="L131" s="85">
        <v>0</v>
      </c>
      <c r="M131" s="85">
        <v>0</v>
      </c>
      <c r="N131" s="85">
        <v>0</v>
      </c>
      <c r="O131" s="85">
        <v>0</v>
      </c>
      <c r="P131" s="85">
        <v>0</v>
      </c>
      <c r="Q131" s="85">
        <v>0</v>
      </c>
      <c r="R131" s="85">
        <v>0</v>
      </c>
      <c r="S131" s="85">
        <v>0</v>
      </c>
      <c r="T131" s="85">
        <f t="shared" si="56"/>
        <v>6.1</v>
      </c>
      <c r="U131" s="89"/>
      <c r="V131" s="89">
        <f t="shared" si="37"/>
        <v>0.6634500256721434</v>
      </c>
      <c r="W131" s="89">
        <f t="shared" si="53"/>
        <v>0</v>
      </c>
      <c r="X131" s="89">
        <f t="shared" si="57"/>
        <v>0</v>
      </c>
      <c r="Y131" s="89">
        <f t="shared" si="46"/>
        <v>0</v>
      </c>
      <c r="Z131" s="89">
        <f t="shared" si="54"/>
        <v>0</v>
      </c>
      <c r="AA131" s="89">
        <f t="shared" si="39"/>
        <v>0</v>
      </c>
      <c r="AB131" s="89">
        <f t="shared" si="55"/>
        <v>12.731072172619047</v>
      </c>
      <c r="AC131" s="89">
        <f t="shared" si="40"/>
        <v>2.7224430964131034</v>
      </c>
      <c r="AD131" s="89">
        <f t="shared" si="41"/>
        <v>0</v>
      </c>
      <c r="AE131" s="89">
        <f t="shared" si="42"/>
        <v>0</v>
      </c>
      <c r="AF131" s="89">
        <f t="shared" si="43"/>
        <v>0</v>
      </c>
      <c r="AG131" s="89">
        <f t="shared" si="44"/>
        <v>0</v>
      </c>
      <c r="AH131" s="89">
        <f t="shared" si="45"/>
        <v>0</v>
      </c>
      <c r="AI131" s="89">
        <v>0</v>
      </c>
      <c r="AJ131" s="89"/>
      <c r="AK131" s="89">
        <v>0</v>
      </c>
      <c r="AL131" s="154">
        <f t="shared" si="58"/>
        <v>16.116965294704293</v>
      </c>
      <c r="AM131" s="297"/>
      <c r="AN131" s="121"/>
      <c r="AO131" s="195" t="s">
        <v>458</v>
      </c>
      <c r="AP131" s="3"/>
      <c r="AQ131" s="187"/>
      <c r="AR131" s="120"/>
      <c r="AX131" s="44" t="s">
        <v>285</v>
      </c>
      <c r="AY131" s="50">
        <f>SUM(AH116:AH154)</f>
        <v>0</v>
      </c>
    </row>
    <row r="132" spans="1:51" ht="24" thickTop="1">
      <c r="A132" s="121"/>
      <c r="B132" s="303"/>
      <c r="C132" s="85">
        <v>18</v>
      </c>
      <c r="D132" s="85" t="s">
        <v>534</v>
      </c>
      <c r="E132" s="151" t="s">
        <v>154</v>
      </c>
      <c r="F132" s="85">
        <f>IF($AP$89="IVF", 0, 1)</f>
        <v>1</v>
      </c>
      <c r="G132" s="85">
        <v>60</v>
      </c>
      <c r="H132" s="85">
        <v>0</v>
      </c>
      <c r="I132" s="85">
        <v>0</v>
      </c>
      <c r="J132" s="85">
        <v>0</v>
      </c>
      <c r="K132" s="85">
        <f>AP137*AP122</f>
        <v>50.3</v>
      </c>
      <c r="L132" s="85">
        <v>0</v>
      </c>
      <c r="M132" s="85">
        <v>0</v>
      </c>
      <c r="N132" s="85">
        <v>0</v>
      </c>
      <c r="O132" s="85">
        <v>0</v>
      </c>
      <c r="P132" s="85">
        <v>0</v>
      </c>
      <c r="Q132" s="85">
        <v>0</v>
      </c>
      <c r="R132" s="85">
        <v>0</v>
      </c>
      <c r="S132" s="85">
        <v>0</v>
      </c>
      <c r="T132" s="85">
        <f t="shared" si="56"/>
        <v>50.3</v>
      </c>
      <c r="U132" s="89"/>
      <c r="V132" s="89">
        <f t="shared" si="37"/>
        <v>5.47074365431292</v>
      </c>
      <c r="W132" s="89">
        <f t="shared" si="53"/>
        <v>0</v>
      </c>
      <c r="X132" s="89">
        <f t="shared" si="57"/>
        <v>0</v>
      </c>
      <c r="Y132" s="89">
        <f t="shared" si="46"/>
        <v>0</v>
      </c>
      <c r="Z132" s="89">
        <f t="shared" si="54"/>
        <v>0</v>
      </c>
      <c r="AA132" s="89">
        <f t="shared" si="39"/>
        <v>0</v>
      </c>
      <c r="AB132" s="89">
        <f t="shared" si="55"/>
        <v>104.97916889880952</v>
      </c>
      <c r="AC132" s="89">
        <f t="shared" si="40"/>
        <v>22.448997991734281</v>
      </c>
      <c r="AD132" s="89">
        <f t="shared" si="41"/>
        <v>92.817397407631773</v>
      </c>
      <c r="AE132" s="89">
        <f t="shared" si="42"/>
        <v>60.614247446969699</v>
      </c>
      <c r="AF132" s="89">
        <f t="shared" si="43"/>
        <v>0</v>
      </c>
      <c r="AG132" s="89">
        <f t="shared" si="44"/>
        <v>0</v>
      </c>
      <c r="AH132" s="89">
        <f t="shared" si="45"/>
        <v>0</v>
      </c>
      <c r="AI132" s="89">
        <f>IF(AP132&gt;16, inputs!E49*2, inputs!E49)</f>
        <v>23.75</v>
      </c>
      <c r="AJ132" s="89"/>
      <c r="AK132" s="89">
        <v>0</v>
      </c>
      <c r="AL132" s="154">
        <f t="shared" si="58"/>
        <v>310.08055539945821</v>
      </c>
      <c r="AM132" s="297"/>
      <c r="AN132" s="121"/>
      <c r="AO132" s="192" t="s">
        <v>256</v>
      </c>
      <c r="AP132" s="85">
        <v>14.837758112094393</v>
      </c>
      <c r="AQ132" s="187"/>
      <c r="AR132" s="120"/>
      <c r="AX132" s="74"/>
      <c r="AY132" s="75">
        <f>SUM(AY116:AY131)</f>
        <v>2991.8767967292383</v>
      </c>
    </row>
    <row r="133" spans="1:51" ht="23.25">
      <c r="A133" s="121"/>
      <c r="B133" s="303"/>
      <c r="C133" s="85">
        <v>19</v>
      </c>
      <c r="D133" s="85" t="s">
        <v>510</v>
      </c>
      <c r="E133" s="151" t="s">
        <v>148</v>
      </c>
      <c r="F133" s="85">
        <v>1</v>
      </c>
      <c r="G133" s="85">
        <v>30</v>
      </c>
      <c r="H133" s="85">
        <v>0</v>
      </c>
      <c r="I133" s="85">
        <v>0</v>
      </c>
      <c r="J133" s="85">
        <v>0</v>
      </c>
      <c r="K133" s="85">
        <v>47</v>
      </c>
      <c r="L133" s="85">
        <v>0</v>
      </c>
      <c r="M133" s="85">
        <v>0</v>
      </c>
      <c r="N133" s="85">
        <v>0</v>
      </c>
      <c r="O133" s="85">
        <v>0</v>
      </c>
      <c r="P133" s="85">
        <v>0</v>
      </c>
      <c r="Q133" s="85">
        <v>0</v>
      </c>
      <c r="R133" s="85">
        <v>0</v>
      </c>
      <c r="S133" s="85">
        <v>0</v>
      </c>
      <c r="T133" s="85">
        <f t="shared" si="56"/>
        <v>47</v>
      </c>
      <c r="U133" s="89"/>
      <c r="V133" s="89">
        <f t="shared" si="37"/>
        <v>5.11182806665422</v>
      </c>
      <c r="W133" s="89">
        <f t="shared" si="53"/>
        <v>0</v>
      </c>
      <c r="X133" s="89">
        <f t="shared" si="57"/>
        <v>0</v>
      </c>
      <c r="Y133" s="89">
        <f t="shared" si="46"/>
        <v>0</v>
      </c>
      <c r="Z133" s="89">
        <f t="shared" si="54"/>
        <v>0</v>
      </c>
      <c r="AA133" s="89">
        <f t="shared" si="39"/>
        <v>0</v>
      </c>
      <c r="AB133" s="89">
        <f t="shared" si="55"/>
        <v>98.091867559523806</v>
      </c>
      <c r="AC133" s="89">
        <f t="shared" si="40"/>
        <v>20.976200906789487</v>
      </c>
      <c r="AD133" s="89">
        <f t="shared" si="41"/>
        <v>0</v>
      </c>
      <c r="AE133" s="89">
        <f t="shared" si="42"/>
        <v>0</v>
      </c>
      <c r="AF133" s="89">
        <f t="shared" si="43"/>
        <v>0</v>
      </c>
      <c r="AG133" s="89">
        <f t="shared" si="44"/>
        <v>0</v>
      </c>
      <c r="AH133" s="89">
        <f t="shared" si="45"/>
        <v>0</v>
      </c>
      <c r="AI133" s="89">
        <v>0</v>
      </c>
      <c r="AJ133" s="89"/>
      <c r="AK133" s="89">
        <v>0</v>
      </c>
      <c r="AL133" s="154">
        <f t="shared" si="58"/>
        <v>124.17989653296752</v>
      </c>
      <c r="AM133" s="297"/>
      <c r="AN133" s="121"/>
      <c r="AO133" s="192" t="s">
        <v>257</v>
      </c>
      <c r="AP133" s="85">
        <v>6.2</v>
      </c>
      <c r="AQ133" s="187"/>
      <c r="AR133" s="120"/>
    </row>
    <row r="134" spans="1:51" ht="23.25">
      <c r="A134" s="121"/>
      <c r="B134" s="303"/>
      <c r="C134" s="85">
        <v>20</v>
      </c>
      <c r="D134" s="85" t="s">
        <v>511</v>
      </c>
      <c r="E134" s="151" t="s">
        <v>52</v>
      </c>
      <c r="F134" s="85">
        <f>IF($AP$86="failed", 0, 1)</f>
        <v>1</v>
      </c>
      <c r="G134" s="85">
        <v>10</v>
      </c>
      <c r="H134" s="85">
        <v>0</v>
      </c>
      <c r="I134" s="85">
        <v>0</v>
      </c>
      <c r="J134" s="85">
        <v>60</v>
      </c>
      <c r="K134" s="85">
        <v>0</v>
      </c>
      <c r="L134" s="85">
        <v>0</v>
      </c>
      <c r="M134" s="85">
        <v>0</v>
      </c>
      <c r="N134" s="85">
        <v>0</v>
      </c>
      <c r="O134" s="85">
        <v>0</v>
      </c>
      <c r="P134" s="85">
        <v>0</v>
      </c>
      <c r="Q134" s="85">
        <v>0</v>
      </c>
      <c r="R134" s="85">
        <v>0</v>
      </c>
      <c r="S134" s="85">
        <v>0</v>
      </c>
      <c r="T134" s="85">
        <f t="shared" si="56"/>
        <v>60</v>
      </c>
      <c r="U134" s="89"/>
      <c r="V134" s="89">
        <f t="shared" si="37"/>
        <v>6.5257379574309189</v>
      </c>
      <c r="W134" s="89">
        <f t="shared" si="53"/>
        <v>0</v>
      </c>
      <c r="X134" s="89">
        <f t="shared" si="57"/>
        <v>0</v>
      </c>
      <c r="Y134" s="89">
        <f t="shared" si="46"/>
        <v>50.212500000000006</v>
      </c>
      <c r="Z134" s="89">
        <f t="shared" si="54"/>
        <v>0</v>
      </c>
      <c r="AA134" s="89">
        <f t="shared" si="39"/>
        <v>0</v>
      </c>
      <c r="AB134" s="89">
        <f t="shared" si="55"/>
        <v>0</v>
      </c>
      <c r="AC134" s="89">
        <f t="shared" si="40"/>
        <v>0</v>
      </c>
      <c r="AD134" s="89">
        <f t="shared" si="41"/>
        <v>0</v>
      </c>
      <c r="AE134" s="89">
        <f t="shared" si="42"/>
        <v>0</v>
      </c>
      <c r="AF134" s="89">
        <f t="shared" si="43"/>
        <v>0</v>
      </c>
      <c r="AG134" s="89">
        <f t="shared" si="44"/>
        <v>0</v>
      </c>
      <c r="AH134" s="89">
        <f t="shared" si="45"/>
        <v>0</v>
      </c>
      <c r="AI134" s="89">
        <v>0</v>
      </c>
      <c r="AJ134" s="89"/>
      <c r="AK134" s="89">
        <v>0</v>
      </c>
      <c r="AL134" s="154">
        <f t="shared" si="58"/>
        <v>56.738237957430925</v>
      </c>
      <c r="AM134" s="297"/>
      <c r="AN134" s="121"/>
      <c r="AO134" s="192" t="s">
        <v>258</v>
      </c>
      <c r="AP134" s="85">
        <v>10.588235294117647</v>
      </c>
      <c r="AQ134" s="187"/>
      <c r="AR134" s="120"/>
    </row>
    <row r="135" spans="1:51" ht="23.25">
      <c r="A135" s="121"/>
      <c r="B135" s="303"/>
      <c r="C135" s="85">
        <v>21</v>
      </c>
      <c r="D135" s="85" t="s">
        <v>512</v>
      </c>
      <c r="E135" s="151" t="s">
        <v>152</v>
      </c>
      <c r="F135" s="85">
        <f>IF($AP$86="failed", 0, 1)</f>
        <v>1</v>
      </c>
      <c r="G135" s="85">
        <v>30</v>
      </c>
      <c r="H135" s="85">
        <v>0</v>
      </c>
      <c r="I135" s="85">
        <v>40</v>
      </c>
      <c r="J135" s="85">
        <v>40</v>
      </c>
      <c r="K135" s="85">
        <v>0</v>
      </c>
      <c r="L135" s="85">
        <v>0</v>
      </c>
      <c r="M135" s="85">
        <v>0</v>
      </c>
      <c r="N135" s="85">
        <v>0</v>
      </c>
      <c r="O135" s="85">
        <v>0</v>
      </c>
      <c r="P135" s="85">
        <v>0</v>
      </c>
      <c r="Q135" s="85">
        <v>0</v>
      </c>
      <c r="R135" s="85">
        <v>0</v>
      </c>
      <c r="S135" s="85">
        <v>0</v>
      </c>
      <c r="T135" s="85">
        <f t="shared" si="56"/>
        <v>80</v>
      </c>
      <c r="U135" s="89"/>
      <c r="V135" s="89">
        <f t="shared" si="37"/>
        <v>8.7009839432412246</v>
      </c>
      <c r="W135" s="89">
        <f t="shared" si="53"/>
        <v>0</v>
      </c>
      <c r="X135" s="89">
        <f t="shared" si="57"/>
        <v>43.066666666666663</v>
      </c>
      <c r="Y135" s="89">
        <f t="shared" si="46"/>
        <v>33.475000000000009</v>
      </c>
      <c r="Z135" s="89">
        <f t="shared" si="54"/>
        <v>16.556485704992671</v>
      </c>
      <c r="AA135" s="89">
        <f t="shared" si="39"/>
        <v>0</v>
      </c>
      <c r="AB135" s="89">
        <f t="shared" si="55"/>
        <v>0</v>
      </c>
      <c r="AC135" s="89">
        <f t="shared" si="40"/>
        <v>0</v>
      </c>
      <c r="AD135" s="89">
        <f t="shared" si="41"/>
        <v>0</v>
      </c>
      <c r="AE135" s="89">
        <f t="shared" si="42"/>
        <v>0</v>
      </c>
      <c r="AF135" s="89">
        <f t="shared" si="43"/>
        <v>0</v>
      </c>
      <c r="AG135" s="89">
        <f t="shared" si="44"/>
        <v>0</v>
      </c>
      <c r="AH135" s="89">
        <f t="shared" si="45"/>
        <v>0</v>
      </c>
      <c r="AI135" s="89">
        <f>inputs!$E$48*F135</f>
        <v>46.476100000000002</v>
      </c>
      <c r="AJ135" s="89"/>
      <c r="AK135" s="89">
        <v>0</v>
      </c>
      <c r="AL135" s="154">
        <f t="shared" si="58"/>
        <v>148.27523631490055</v>
      </c>
      <c r="AM135" s="297"/>
      <c r="AN135" s="121"/>
      <c r="AO135" s="192" t="s">
        <v>245</v>
      </c>
      <c r="AP135" s="85">
        <v>6.4423076923076925</v>
      </c>
      <c r="AQ135" s="187"/>
      <c r="AR135" s="120"/>
    </row>
    <row r="136" spans="1:51" ht="23.25">
      <c r="A136" s="121"/>
      <c r="B136" s="303"/>
      <c r="C136" s="85">
        <v>23</v>
      </c>
      <c r="D136" s="85" t="s">
        <v>95</v>
      </c>
      <c r="E136" s="151" t="s">
        <v>153</v>
      </c>
      <c r="F136" s="85">
        <f>IF($AP$86="failed", 0, 1)</f>
        <v>1</v>
      </c>
      <c r="G136" s="85">
        <v>30</v>
      </c>
      <c r="H136" s="85">
        <v>0</v>
      </c>
      <c r="I136" s="85">
        <v>0</v>
      </c>
      <c r="J136" s="85">
        <v>0</v>
      </c>
      <c r="K136" s="85">
        <v>34.5</v>
      </c>
      <c r="L136" s="85">
        <v>0</v>
      </c>
      <c r="M136" s="85">
        <v>0</v>
      </c>
      <c r="N136" s="85">
        <v>0</v>
      </c>
      <c r="O136" s="85">
        <v>0</v>
      </c>
      <c r="P136" s="85">
        <v>0</v>
      </c>
      <c r="Q136" s="85">
        <v>0</v>
      </c>
      <c r="R136" s="85">
        <v>0</v>
      </c>
      <c r="S136" s="85">
        <v>0</v>
      </c>
      <c r="T136" s="85">
        <f t="shared" si="56"/>
        <v>34.5</v>
      </c>
      <c r="U136" s="89"/>
      <c r="V136" s="89">
        <f t="shared" si="37"/>
        <v>3.7522993255227783</v>
      </c>
      <c r="W136" s="89">
        <f t="shared" si="53"/>
        <v>0</v>
      </c>
      <c r="X136" s="89">
        <f t="shared" si="57"/>
        <v>0</v>
      </c>
      <c r="Y136" s="89">
        <f t="shared" si="46"/>
        <v>0</v>
      </c>
      <c r="Z136" s="89">
        <f t="shared" si="54"/>
        <v>0</v>
      </c>
      <c r="AA136" s="89">
        <f t="shared" si="39"/>
        <v>0</v>
      </c>
      <c r="AB136" s="89">
        <f t="shared" si="55"/>
        <v>72.003604910714287</v>
      </c>
      <c r="AC136" s="89">
        <f t="shared" si="40"/>
        <v>15.39742406987739</v>
      </c>
      <c r="AD136" s="89">
        <f t="shared" si="41"/>
        <v>63.66203201915102</v>
      </c>
      <c r="AE136" s="89">
        <f t="shared" si="42"/>
        <v>0</v>
      </c>
      <c r="AF136" s="89">
        <f t="shared" si="43"/>
        <v>0</v>
      </c>
      <c r="AG136" s="89">
        <f t="shared" si="44"/>
        <v>0</v>
      </c>
      <c r="AH136" s="89">
        <f t="shared" si="45"/>
        <v>0</v>
      </c>
      <c r="AI136" s="89">
        <v>0</v>
      </c>
      <c r="AJ136" s="89"/>
      <c r="AK136" s="89">
        <v>0</v>
      </c>
      <c r="AL136" s="154">
        <f t="shared" si="58"/>
        <v>154.81536032526549</v>
      </c>
      <c r="AM136" s="297"/>
      <c r="AN136" s="121"/>
      <c r="AO136" s="195" t="s">
        <v>462</v>
      </c>
      <c r="AP136" s="85"/>
      <c r="AQ136" s="187"/>
      <c r="AR136" s="120"/>
    </row>
    <row r="137" spans="1:51" ht="23.25">
      <c r="A137" s="121"/>
      <c r="B137" s="303"/>
      <c r="C137" s="85">
        <v>24</v>
      </c>
      <c r="D137" s="85" t="s">
        <v>530</v>
      </c>
      <c r="E137" s="151" t="s">
        <v>160</v>
      </c>
      <c r="F137" s="85">
        <f>IF($AP$89="IVF", 0, 1)</f>
        <v>1</v>
      </c>
      <c r="G137" s="85">
        <v>0</v>
      </c>
      <c r="H137" s="85">
        <v>0</v>
      </c>
      <c r="I137" s="85">
        <v>0</v>
      </c>
      <c r="J137" s="85">
        <v>0</v>
      </c>
      <c r="K137" s="85">
        <f>AP138*AP122</f>
        <v>42.881120943952801</v>
      </c>
      <c r="L137" s="85">
        <v>0</v>
      </c>
      <c r="M137" s="85">
        <v>0</v>
      </c>
      <c r="N137" s="85">
        <v>0</v>
      </c>
      <c r="O137" s="85">
        <v>0</v>
      </c>
      <c r="P137" s="85">
        <v>0</v>
      </c>
      <c r="Q137" s="85">
        <v>0</v>
      </c>
      <c r="R137" s="85">
        <v>0</v>
      </c>
      <c r="S137" s="85">
        <v>0</v>
      </c>
      <c r="T137" s="85">
        <f t="shared" si="56"/>
        <v>42.881120943952801</v>
      </c>
      <c r="U137" s="89"/>
      <c r="V137" s="89">
        <f t="shared" si="37"/>
        <v>4.6638493100189793</v>
      </c>
      <c r="W137" s="89">
        <f t="shared" si="53"/>
        <v>0</v>
      </c>
      <c r="X137" s="89">
        <f t="shared" si="57"/>
        <v>0</v>
      </c>
      <c r="Y137" s="89">
        <f t="shared" si="46"/>
        <v>0</v>
      </c>
      <c r="Z137" s="89">
        <f t="shared" si="54"/>
        <v>0</v>
      </c>
      <c r="AA137" s="89">
        <f t="shared" si="39"/>
        <v>0</v>
      </c>
      <c r="AB137" s="89">
        <f t="shared" si="55"/>
        <v>89.495515668896616</v>
      </c>
      <c r="AC137" s="89">
        <f t="shared" si="40"/>
        <v>19.13793634103601</v>
      </c>
      <c r="AD137" s="89">
        <f t="shared" si="41"/>
        <v>0</v>
      </c>
      <c r="AE137" s="89">
        <f t="shared" si="42"/>
        <v>51.674092956266207</v>
      </c>
      <c r="AF137" s="89">
        <f t="shared" si="43"/>
        <v>0</v>
      </c>
      <c r="AG137" s="89">
        <f t="shared" si="44"/>
        <v>0</v>
      </c>
      <c r="AH137" s="89">
        <f t="shared" si="45"/>
        <v>0</v>
      </c>
      <c r="AI137" s="89">
        <v>0</v>
      </c>
      <c r="AJ137" s="89"/>
      <c r="AK137" s="89">
        <v>0</v>
      </c>
      <c r="AL137" s="154">
        <f t="shared" si="58"/>
        <v>164.97139427621781</v>
      </c>
      <c r="AM137" s="297"/>
      <c r="AN137" s="121"/>
      <c r="AO137" s="192" t="s">
        <v>252</v>
      </c>
      <c r="AP137" s="85">
        <v>3.39</v>
      </c>
      <c r="AQ137" s="187"/>
      <c r="AR137" s="120"/>
    </row>
    <row r="138" spans="1:51" ht="22.5" customHeight="1">
      <c r="A138" s="121"/>
      <c r="B138" s="303"/>
      <c r="C138" s="85">
        <v>26</v>
      </c>
      <c r="D138" s="85" t="s">
        <v>104</v>
      </c>
      <c r="E138" s="151" t="s">
        <v>160</v>
      </c>
      <c r="F138" s="85">
        <f>IF($AP$89="IVF", 0, 1)</f>
        <v>1</v>
      </c>
      <c r="G138" s="85">
        <v>0</v>
      </c>
      <c r="H138" s="85">
        <v>0</v>
      </c>
      <c r="I138" s="85">
        <v>0</v>
      </c>
      <c r="J138" s="85">
        <v>0</v>
      </c>
      <c r="K138" s="85">
        <f>9.5*AP123</f>
        <v>58.9</v>
      </c>
      <c r="L138" s="85">
        <v>0</v>
      </c>
      <c r="M138" s="85">
        <v>0</v>
      </c>
      <c r="N138" s="85">
        <v>0</v>
      </c>
      <c r="O138" s="85">
        <v>0</v>
      </c>
      <c r="P138" s="85">
        <v>0</v>
      </c>
      <c r="Q138" s="85">
        <v>0</v>
      </c>
      <c r="R138" s="85">
        <v>0</v>
      </c>
      <c r="S138" s="85">
        <v>0</v>
      </c>
      <c r="T138" s="85">
        <f t="shared" si="56"/>
        <v>58.9</v>
      </c>
      <c r="U138" s="89"/>
      <c r="V138" s="89">
        <f t="shared" si="37"/>
        <v>6.4060994282113519</v>
      </c>
      <c r="W138" s="89">
        <f t="shared" si="53"/>
        <v>0</v>
      </c>
      <c r="X138" s="89">
        <f t="shared" si="57"/>
        <v>0</v>
      </c>
      <c r="Y138" s="89">
        <f t="shared" si="46"/>
        <v>0</v>
      </c>
      <c r="Z138" s="89">
        <f t="shared" si="54"/>
        <v>0</v>
      </c>
      <c r="AA138" s="89">
        <f t="shared" si="39"/>
        <v>0</v>
      </c>
      <c r="AB138" s="89">
        <f t="shared" si="55"/>
        <v>122.92789360119048</v>
      </c>
      <c r="AC138" s="89">
        <f t="shared" si="40"/>
        <v>26.287196455529806</v>
      </c>
      <c r="AD138" s="89">
        <f t="shared" si="41"/>
        <v>0</v>
      </c>
      <c r="AE138" s="89">
        <f t="shared" si="42"/>
        <v>70.977717189393942</v>
      </c>
      <c r="AF138" s="89">
        <f t="shared" si="43"/>
        <v>0</v>
      </c>
      <c r="AG138" s="89">
        <f t="shared" si="44"/>
        <v>0</v>
      </c>
      <c r="AH138" s="89">
        <f t="shared" si="45"/>
        <v>0</v>
      </c>
      <c r="AI138" s="89">
        <f>inputs!E46</f>
        <v>33.114069999999998</v>
      </c>
      <c r="AJ138" s="89"/>
      <c r="AK138" s="89">
        <v>0</v>
      </c>
      <c r="AL138" s="175">
        <f t="shared" si="58"/>
        <v>259.71297667432555</v>
      </c>
      <c r="AM138" s="298" t="s">
        <v>368</v>
      </c>
      <c r="AN138" s="121"/>
      <c r="AO138" s="192" t="s">
        <v>253</v>
      </c>
      <c r="AP138" s="85">
        <v>2.89</v>
      </c>
      <c r="AQ138" s="187"/>
      <c r="AR138" s="120"/>
    </row>
    <row r="139" spans="1:51" ht="23.25">
      <c r="A139" s="121"/>
      <c r="B139" s="303"/>
      <c r="C139" s="85">
        <v>27</v>
      </c>
      <c r="D139" s="85" t="s">
        <v>515</v>
      </c>
      <c r="E139" s="151" t="s">
        <v>52</v>
      </c>
      <c r="F139" s="85">
        <f>IF(AP126="yes", 0, 1)</f>
        <v>1</v>
      </c>
      <c r="G139" s="85">
        <v>0</v>
      </c>
      <c r="H139" s="85">
        <v>0</v>
      </c>
      <c r="I139" s="85">
        <v>0</v>
      </c>
      <c r="J139" s="85">
        <v>10</v>
      </c>
      <c r="K139" s="85">
        <v>10</v>
      </c>
      <c r="L139" s="85">
        <v>0</v>
      </c>
      <c r="M139" s="85">
        <v>0</v>
      </c>
      <c r="N139" s="85">
        <v>0</v>
      </c>
      <c r="O139" s="85">
        <v>0</v>
      </c>
      <c r="P139" s="85">
        <v>0</v>
      </c>
      <c r="Q139" s="85">
        <v>0</v>
      </c>
      <c r="R139" s="85">
        <v>0</v>
      </c>
      <c r="S139" s="85">
        <v>0</v>
      </c>
      <c r="T139" s="85">
        <f t="shared" si="56"/>
        <v>20</v>
      </c>
      <c r="U139" s="89"/>
      <c r="V139" s="89">
        <f t="shared" si="37"/>
        <v>2.1752459858103061</v>
      </c>
      <c r="W139" s="89">
        <f t="shared" si="53"/>
        <v>0</v>
      </c>
      <c r="X139" s="89">
        <f t="shared" si="57"/>
        <v>0</v>
      </c>
      <c r="Y139" s="89">
        <f t="shared" si="46"/>
        <v>8.3687500000000021</v>
      </c>
      <c r="Z139" s="89">
        <f t="shared" si="54"/>
        <v>0</v>
      </c>
      <c r="AA139" s="89">
        <f t="shared" si="39"/>
        <v>0</v>
      </c>
      <c r="AB139" s="89">
        <f t="shared" si="55"/>
        <v>20.870610119047619</v>
      </c>
      <c r="AC139" s="89">
        <f t="shared" si="40"/>
        <v>0</v>
      </c>
      <c r="AD139" s="89">
        <f t="shared" si="41"/>
        <v>0</v>
      </c>
      <c r="AE139" s="89">
        <f t="shared" si="42"/>
        <v>0</v>
      </c>
      <c r="AF139" s="89">
        <f t="shared" si="43"/>
        <v>0</v>
      </c>
      <c r="AG139" s="89">
        <f t="shared" si="44"/>
        <v>0</v>
      </c>
      <c r="AH139" s="89">
        <f t="shared" si="45"/>
        <v>0</v>
      </c>
      <c r="AI139" s="89">
        <v>0</v>
      </c>
      <c r="AJ139" s="89"/>
      <c r="AK139" s="89">
        <v>0</v>
      </c>
      <c r="AL139" s="175">
        <f t="shared" si="58"/>
        <v>31.414606104857928</v>
      </c>
      <c r="AM139" s="298"/>
      <c r="AN139" s="121"/>
      <c r="AO139" s="192" t="s">
        <v>254</v>
      </c>
      <c r="AP139" s="85">
        <v>9.5</v>
      </c>
      <c r="AQ139" s="187"/>
      <c r="AR139" s="120"/>
    </row>
    <row r="140" spans="1:51" ht="23.25">
      <c r="A140" s="121"/>
      <c r="B140" s="303"/>
      <c r="C140" s="85">
        <v>29</v>
      </c>
      <c r="D140" s="85" t="s">
        <v>531</v>
      </c>
      <c r="E140" s="151" t="s">
        <v>157</v>
      </c>
      <c r="F140" s="85">
        <f>IF($AP$89="IVF", 0, 1)</f>
        <v>1</v>
      </c>
      <c r="G140" s="85">
        <v>0</v>
      </c>
      <c r="H140" s="85">
        <v>0</v>
      </c>
      <c r="I140" s="85">
        <v>0</v>
      </c>
      <c r="J140" s="85">
        <v>0</v>
      </c>
      <c r="K140" s="85">
        <f>AP140*AP129</f>
        <v>7.5374999999999996</v>
      </c>
      <c r="L140" s="85">
        <v>0</v>
      </c>
      <c r="M140" s="85">
        <v>0</v>
      </c>
      <c r="N140" s="85">
        <v>0</v>
      </c>
      <c r="O140" s="85">
        <v>0</v>
      </c>
      <c r="P140" s="85">
        <v>0</v>
      </c>
      <c r="Q140" s="85">
        <v>0</v>
      </c>
      <c r="R140" s="85">
        <v>0</v>
      </c>
      <c r="S140" s="85">
        <v>0</v>
      </c>
      <c r="T140" s="85">
        <f t="shared" si="56"/>
        <v>7.5374999999999996</v>
      </c>
      <c r="U140" s="89"/>
      <c r="V140" s="89">
        <f t="shared" si="37"/>
        <v>0.81979583090225916</v>
      </c>
      <c r="W140" s="89">
        <f t="shared" si="53"/>
        <v>0</v>
      </c>
      <c r="X140" s="89">
        <f t="shared" si="57"/>
        <v>0</v>
      </c>
      <c r="Y140" s="89">
        <f t="shared" si="46"/>
        <v>0</v>
      </c>
      <c r="Z140" s="89">
        <f t="shared" si="54"/>
        <v>0</v>
      </c>
      <c r="AA140" s="89">
        <f t="shared" si="39"/>
        <v>0</v>
      </c>
      <c r="AB140" s="89">
        <f t="shared" si="55"/>
        <v>15.731222377232141</v>
      </c>
      <c r="AC140" s="89">
        <f t="shared" si="40"/>
        <v>0</v>
      </c>
      <c r="AD140" s="89">
        <f t="shared" si="41"/>
        <v>0</v>
      </c>
      <c r="AE140" s="89">
        <f t="shared" si="42"/>
        <v>9.0830992073863648</v>
      </c>
      <c r="AF140" s="89">
        <f t="shared" si="43"/>
        <v>0</v>
      </c>
      <c r="AG140" s="89">
        <f t="shared" si="44"/>
        <v>0</v>
      </c>
      <c r="AH140" s="89">
        <f t="shared" si="45"/>
        <v>0</v>
      </c>
      <c r="AI140" s="89">
        <v>0</v>
      </c>
      <c r="AJ140" s="89"/>
      <c r="AK140" s="89">
        <v>0</v>
      </c>
      <c r="AL140" s="175">
        <f t="shared" si="58"/>
        <v>25.634117415520766</v>
      </c>
      <c r="AM140" s="298"/>
      <c r="AN140" s="121"/>
      <c r="AO140" s="193" t="s">
        <v>255</v>
      </c>
      <c r="AP140" s="87">
        <v>1.17</v>
      </c>
      <c r="AQ140" s="197"/>
      <c r="AR140" s="120"/>
    </row>
    <row r="141" spans="1:51" ht="23.25">
      <c r="A141" s="121"/>
      <c r="B141" s="303"/>
      <c r="C141" s="85">
        <v>30</v>
      </c>
      <c r="D141" s="85" t="s">
        <v>516</v>
      </c>
      <c r="E141" s="151" t="s">
        <v>148</v>
      </c>
      <c r="F141" s="85">
        <v>1</v>
      </c>
      <c r="G141" s="85">
        <v>0</v>
      </c>
      <c r="H141" s="85">
        <v>0</v>
      </c>
      <c r="I141" s="85">
        <v>0</v>
      </c>
      <c r="J141" s="85">
        <v>0</v>
      </c>
      <c r="K141" s="85">
        <v>5.6</v>
      </c>
      <c r="L141" s="85">
        <v>0</v>
      </c>
      <c r="M141" s="85">
        <v>0</v>
      </c>
      <c r="N141" s="85">
        <v>0</v>
      </c>
      <c r="O141" s="85">
        <v>0</v>
      </c>
      <c r="P141" s="85">
        <v>0</v>
      </c>
      <c r="Q141" s="85">
        <v>0</v>
      </c>
      <c r="R141" s="85">
        <v>0</v>
      </c>
      <c r="S141" s="85">
        <v>0</v>
      </c>
      <c r="T141" s="85">
        <f t="shared" si="56"/>
        <v>5.6</v>
      </c>
      <c r="U141" s="89"/>
      <c r="V141" s="89">
        <f t="shared" si="37"/>
        <v>0.60906887602688575</v>
      </c>
      <c r="W141" s="89">
        <f t="shared" si="53"/>
        <v>0</v>
      </c>
      <c r="X141" s="89">
        <f t="shared" si="57"/>
        <v>0</v>
      </c>
      <c r="Y141" s="89">
        <f t="shared" si="46"/>
        <v>0</v>
      </c>
      <c r="Z141" s="89">
        <f t="shared" si="54"/>
        <v>0</v>
      </c>
      <c r="AA141" s="89">
        <f t="shared" si="39"/>
        <v>0</v>
      </c>
      <c r="AB141" s="89">
        <f t="shared" si="55"/>
        <v>11.687541666666666</v>
      </c>
      <c r="AC141" s="89">
        <f t="shared" si="40"/>
        <v>2.4992920229366198</v>
      </c>
      <c r="AD141" s="89">
        <f t="shared" si="41"/>
        <v>0</v>
      </c>
      <c r="AE141" s="89">
        <f t="shared" si="42"/>
        <v>0</v>
      </c>
      <c r="AF141" s="89">
        <f t="shared" si="43"/>
        <v>0</v>
      </c>
      <c r="AG141" s="89">
        <f t="shared" si="44"/>
        <v>0</v>
      </c>
      <c r="AH141" s="89">
        <f t="shared" si="45"/>
        <v>0</v>
      </c>
      <c r="AI141" s="89">
        <v>0</v>
      </c>
      <c r="AJ141" s="89"/>
      <c r="AK141" s="89">
        <v>0</v>
      </c>
      <c r="AL141" s="175">
        <f t="shared" si="58"/>
        <v>14.795902565630172</v>
      </c>
      <c r="AM141" s="298"/>
      <c r="AN141" s="121"/>
      <c r="AO141" s="120"/>
      <c r="AP141" s="265"/>
      <c r="AQ141" s="120"/>
      <c r="AR141" s="120"/>
    </row>
    <row r="142" spans="1:51" ht="23.25">
      <c r="A142" s="121"/>
      <c r="B142" s="303"/>
      <c r="C142" s="85">
        <v>31</v>
      </c>
      <c r="D142" s="85" t="s">
        <v>532</v>
      </c>
      <c r="E142" s="151" t="s">
        <v>157</v>
      </c>
      <c r="F142" s="85">
        <f>IF($AP$89="IVF", 0, 1)</f>
        <v>1</v>
      </c>
      <c r="G142" s="85">
        <v>30</v>
      </c>
      <c r="H142" s="85">
        <v>0</v>
      </c>
      <c r="I142" s="85">
        <v>0</v>
      </c>
      <c r="J142" s="85">
        <v>0</v>
      </c>
      <c r="K142" s="85">
        <f>K140</f>
        <v>7.5374999999999996</v>
      </c>
      <c r="L142" s="85">
        <v>0</v>
      </c>
      <c r="M142" s="85">
        <v>0</v>
      </c>
      <c r="N142" s="85">
        <v>0</v>
      </c>
      <c r="O142" s="85">
        <v>0</v>
      </c>
      <c r="P142" s="85">
        <v>0</v>
      </c>
      <c r="Q142" s="85">
        <v>0</v>
      </c>
      <c r="R142" s="85">
        <v>0</v>
      </c>
      <c r="S142" s="85">
        <v>0</v>
      </c>
      <c r="T142" s="85">
        <f t="shared" si="56"/>
        <v>7.5374999999999996</v>
      </c>
      <c r="U142" s="89"/>
      <c r="V142" s="89">
        <f t="shared" si="37"/>
        <v>0.81979583090225916</v>
      </c>
      <c r="W142" s="89">
        <f t="shared" si="53"/>
        <v>0</v>
      </c>
      <c r="X142" s="89">
        <f t="shared" si="57"/>
        <v>0</v>
      </c>
      <c r="Y142" s="89">
        <f t="shared" si="46"/>
        <v>0</v>
      </c>
      <c r="Z142" s="89">
        <f t="shared" si="54"/>
        <v>0</v>
      </c>
      <c r="AA142" s="89">
        <f t="shared" si="39"/>
        <v>0</v>
      </c>
      <c r="AB142" s="89">
        <f t="shared" si="55"/>
        <v>15.731222377232141</v>
      </c>
      <c r="AC142" s="89">
        <f t="shared" si="40"/>
        <v>0</v>
      </c>
      <c r="AD142" s="89">
        <f t="shared" si="41"/>
        <v>0</v>
      </c>
      <c r="AE142" s="89">
        <f t="shared" si="42"/>
        <v>9.0830992073863648</v>
      </c>
      <c r="AF142" s="89">
        <f t="shared" si="43"/>
        <v>0</v>
      </c>
      <c r="AG142" s="89">
        <f t="shared" si="44"/>
        <v>0</v>
      </c>
      <c r="AH142" s="89">
        <f t="shared" si="45"/>
        <v>0</v>
      </c>
      <c r="AI142" s="89">
        <v>0</v>
      </c>
      <c r="AJ142" s="89"/>
      <c r="AK142" s="89">
        <v>0</v>
      </c>
      <c r="AL142" s="175">
        <f t="shared" si="58"/>
        <v>25.634117415520766</v>
      </c>
      <c r="AM142" s="298"/>
      <c r="AN142" s="121"/>
      <c r="AO142" s="120"/>
      <c r="AP142" s="265"/>
      <c r="AQ142" s="120"/>
      <c r="AR142" s="120"/>
    </row>
    <row r="143" spans="1:51" ht="23.25">
      <c r="A143" s="121"/>
      <c r="B143" s="303"/>
      <c r="C143" s="85">
        <v>33</v>
      </c>
      <c r="D143" s="85" t="s">
        <v>533</v>
      </c>
      <c r="E143" s="151" t="s">
        <v>157</v>
      </c>
      <c r="F143" s="85">
        <f>IF($AP$89="IVF", 0, 1)</f>
        <v>1</v>
      </c>
      <c r="G143" s="85">
        <v>0</v>
      </c>
      <c r="H143" s="85">
        <v>0</v>
      </c>
      <c r="I143" s="85">
        <v>0</v>
      </c>
      <c r="J143" s="85">
        <v>0</v>
      </c>
      <c r="K143" s="85">
        <f>K140</f>
        <v>7.5374999999999996</v>
      </c>
      <c r="L143" s="85">
        <v>0</v>
      </c>
      <c r="M143" s="85">
        <v>0</v>
      </c>
      <c r="N143" s="85">
        <v>0</v>
      </c>
      <c r="O143" s="85">
        <v>0</v>
      </c>
      <c r="P143" s="85">
        <v>0</v>
      </c>
      <c r="Q143" s="85">
        <v>0</v>
      </c>
      <c r="R143" s="85">
        <v>0</v>
      </c>
      <c r="S143" s="85">
        <v>0</v>
      </c>
      <c r="T143" s="85">
        <f t="shared" si="56"/>
        <v>7.5374999999999996</v>
      </c>
      <c r="U143" s="89"/>
      <c r="V143" s="89">
        <f t="shared" si="37"/>
        <v>0.81979583090225916</v>
      </c>
      <c r="W143" s="89">
        <f t="shared" si="53"/>
        <v>0</v>
      </c>
      <c r="X143" s="89">
        <f t="shared" si="57"/>
        <v>0</v>
      </c>
      <c r="Y143" s="89">
        <f t="shared" si="46"/>
        <v>0</v>
      </c>
      <c r="Z143" s="89">
        <f t="shared" si="54"/>
        <v>0</v>
      </c>
      <c r="AA143" s="89">
        <f t="shared" si="39"/>
        <v>0</v>
      </c>
      <c r="AB143" s="89">
        <f t="shared" si="55"/>
        <v>15.731222377232141</v>
      </c>
      <c r="AC143" s="89">
        <f t="shared" si="40"/>
        <v>0</v>
      </c>
      <c r="AD143" s="89">
        <f t="shared" si="41"/>
        <v>0</v>
      </c>
      <c r="AE143" s="89">
        <f t="shared" si="42"/>
        <v>9.0830992073863648</v>
      </c>
      <c r="AF143" s="89">
        <f t="shared" si="43"/>
        <v>0</v>
      </c>
      <c r="AG143" s="89">
        <f t="shared" si="44"/>
        <v>0</v>
      </c>
      <c r="AH143" s="89">
        <f t="shared" si="45"/>
        <v>0</v>
      </c>
      <c r="AI143" s="89">
        <v>0</v>
      </c>
      <c r="AJ143" s="89"/>
      <c r="AK143" s="89">
        <v>0</v>
      </c>
      <c r="AL143" s="175">
        <f t="shared" si="58"/>
        <v>25.634117415520766</v>
      </c>
      <c r="AM143" s="298"/>
      <c r="AN143" s="121"/>
      <c r="AO143" s="120"/>
      <c r="AP143" s="265"/>
      <c r="AQ143" s="120"/>
      <c r="AR143" s="120"/>
    </row>
    <row r="144" spans="1:51" ht="23.25">
      <c r="A144" s="121"/>
      <c r="B144" s="303"/>
      <c r="C144" s="85">
        <v>35</v>
      </c>
      <c r="D144" s="85" t="s">
        <v>105</v>
      </c>
      <c r="E144" s="151" t="s">
        <v>153</v>
      </c>
      <c r="F144" s="85">
        <f>IF(AP127="failed", 0, 1)</f>
        <v>1</v>
      </c>
      <c r="G144" s="85">
        <v>0</v>
      </c>
      <c r="H144" s="85">
        <v>0</v>
      </c>
      <c r="I144" s="85">
        <v>0</v>
      </c>
      <c r="J144" s="85">
        <v>0</v>
      </c>
      <c r="K144" s="85">
        <v>5</v>
      </c>
      <c r="L144" s="85">
        <v>0</v>
      </c>
      <c r="M144" s="85">
        <v>0</v>
      </c>
      <c r="N144" s="85">
        <v>0</v>
      </c>
      <c r="O144" s="85">
        <v>0</v>
      </c>
      <c r="P144" s="85">
        <v>0</v>
      </c>
      <c r="Q144" s="85">
        <v>0</v>
      </c>
      <c r="R144" s="85">
        <v>0</v>
      </c>
      <c r="S144" s="85">
        <v>0</v>
      </c>
      <c r="T144" s="85">
        <f t="shared" si="56"/>
        <v>5</v>
      </c>
      <c r="U144" s="89"/>
      <c r="V144" s="89">
        <f t="shared" si="37"/>
        <v>0.54381149645257654</v>
      </c>
      <c r="W144" s="89">
        <f t="shared" si="53"/>
        <v>0</v>
      </c>
      <c r="X144" s="89">
        <f t="shared" si="57"/>
        <v>0</v>
      </c>
      <c r="Y144" s="89">
        <f t="shared" si="46"/>
        <v>0</v>
      </c>
      <c r="Z144" s="89">
        <f t="shared" si="54"/>
        <v>0</v>
      </c>
      <c r="AA144" s="89">
        <f t="shared" si="39"/>
        <v>0</v>
      </c>
      <c r="AB144" s="89">
        <f t="shared" si="55"/>
        <v>10.435305059523809</v>
      </c>
      <c r="AC144" s="89">
        <f t="shared" si="40"/>
        <v>2.2315107347648393</v>
      </c>
      <c r="AD144" s="89">
        <f t="shared" si="41"/>
        <v>9.2263814520508731</v>
      </c>
      <c r="AE144" s="89">
        <f t="shared" si="42"/>
        <v>0</v>
      </c>
      <c r="AF144" s="89">
        <f t="shared" si="43"/>
        <v>0</v>
      </c>
      <c r="AG144" s="89">
        <f t="shared" si="44"/>
        <v>0</v>
      </c>
      <c r="AH144" s="89">
        <f t="shared" si="45"/>
        <v>0</v>
      </c>
      <c r="AI144" s="89">
        <v>0</v>
      </c>
      <c r="AJ144" s="89"/>
      <c r="AK144" s="89">
        <v>0</v>
      </c>
      <c r="AL144" s="175">
        <f t="shared" si="58"/>
        <v>22.437008742792099</v>
      </c>
      <c r="AM144" s="298"/>
      <c r="AN144" s="121"/>
      <c r="AO144" s="121"/>
      <c r="AP144" s="265"/>
      <c r="AQ144" s="121"/>
      <c r="AR144" s="120"/>
    </row>
    <row r="145" spans="1:51" ht="23.25">
      <c r="A145" s="121"/>
      <c r="B145" s="303"/>
      <c r="C145" s="85">
        <v>36</v>
      </c>
      <c r="D145" s="85" t="s">
        <v>520</v>
      </c>
      <c r="E145" s="151" t="s">
        <v>156</v>
      </c>
      <c r="F145" s="85">
        <f>IF(AP130="Cryo DMSO", 0, 1)</f>
        <v>1</v>
      </c>
      <c r="G145" s="85">
        <v>0</v>
      </c>
      <c r="H145" s="85">
        <v>0</v>
      </c>
      <c r="I145" s="85">
        <v>0</v>
      </c>
      <c r="J145" s="85">
        <v>0</v>
      </c>
      <c r="K145" s="85">
        <f>2*AP140*AP129</f>
        <v>15.074999999999999</v>
      </c>
      <c r="L145" s="85">
        <v>0</v>
      </c>
      <c r="M145" s="85">
        <v>0</v>
      </c>
      <c r="N145" s="85">
        <v>0</v>
      </c>
      <c r="O145" s="85">
        <v>0</v>
      </c>
      <c r="P145" s="85">
        <v>0</v>
      </c>
      <c r="Q145" s="85">
        <v>0</v>
      </c>
      <c r="R145" s="85">
        <v>0</v>
      </c>
      <c r="S145" s="85">
        <v>0</v>
      </c>
      <c r="T145" s="85">
        <f t="shared" si="56"/>
        <v>15.074999999999999</v>
      </c>
      <c r="U145" s="89"/>
      <c r="V145" s="89">
        <f t="shared" si="37"/>
        <v>1.6395916618045183</v>
      </c>
      <c r="W145" s="89">
        <f t="shared" si="53"/>
        <v>0</v>
      </c>
      <c r="X145" s="89">
        <f t="shared" si="57"/>
        <v>0</v>
      </c>
      <c r="Y145" s="89">
        <f t="shared" si="46"/>
        <v>0</v>
      </c>
      <c r="Z145" s="89">
        <f t="shared" si="54"/>
        <v>0</v>
      </c>
      <c r="AA145" s="89">
        <f t="shared" si="39"/>
        <v>0</v>
      </c>
      <c r="AB145" s="89">
        <f t="shared" si="55"/>
        <v>31.462444754464283</v>
      </c>
      <c r="AC145" s="89">
        <f t="shared" si="40"/>
        <v>0</v>
      </c>
      <c r="AD145" s="89">
        <f t="shared" si="41"/>
        <v>27.81754007793338</v>
      </c>
      <c r="AE145" s="89">
        <f t="shared" si="42"/>
        <v>0</v>
      </c>
      <c r="AF145" s="89">
        <f t="shared" si="43"/>
        <v>0</v>
      </c>
      <c r="AG145" s="89">
        <f t="shared" si="44"/>
        <v>0</v>
      </c>
      <c r="AH145" s="89">
        <f t="shared" si="45"/>
        <v>0</v>
      </c>
      <c r="AI145" s="89">
        <v>0</v>
      </c>
      <c r="AJ145" s="89"/>
      <c r="AK145" s="89">
        <v>0</v>
      </c>
      <c r="AL145" s="175">
        <f t="shared" si="58"/>
        <v>60.919576494202182</v>
      </c>
      <c r="AM145" s="298"/>
      <c r="AN145" s="121"/>
      <c r="AO145" s="121"/>
      <c r="AP145" s="265"/>
      <c r="AQ145" s="121"/>
      <c r="AR145" s="120"/>
    </row>
    <row r="146" spans="1:51" ht="23.25">
      <c r="A146" s="121"/>
      <c r="B146" s="303"/>
      <c r="C146" s="85">
        <v>37</v>
      </c>
      <c r="D146" s="85" t="s">
        <v>521</v>
      </c>
      <c r="E146" s="151" t="s">
        <v>148</v>
      </c>
      <c r="F146" s="85">
        <f>IF(AP127="yes", 1, 0)</f>
        <v>0</v>
      </c>
      <c r="G146" s="85">
        <v>0</v>
      </c>
      <c r="H146" s="85">
        <v>0</v>
      </c>
      <c r="I146" s="85">
        <v>0</v>
      </c>
      <c r="J146" s="85">
        <v>0</v>
      </c>
      <c r="K146" s="85">
        <v>5.6</v>
      </c>
      <c r="L146" s="85">
        <v>0</v>
      </c>
      <c r="M146" s="85">
        <v>0</v>
      </c>
      <c r="N146" s="85">
        <v>0</v>
      </c>
      <c r="O146" s="85">
        <v>0</v>
      </c>
      <c r="P146" s="85">
        <v>0</v>
      </c>
      <c r="Q146" s="85">
        <v>0</v>
      </c>
      <c r="R146" s="85">
        <v>0</v>
      </c>
      <c r="S146" s="85">
        <v>0</v>
      </c>
      <c r="T146" s="85">
        <f t="shared" si="56"/>
        <v>0</v>
      </c>
      <c r="U146" s="89"/>
      <c r="V146" s="89">
        <f t="shared" si="37"/>
        <v>0</v>
      </c>
      <c r="W146" s="89">
        <f t="shared" si="53"/>
        <v>0</v>
      </c>
      <c r="X146" s="89">
        <f t="shared" si="57"/>
        <v>0</v>
      </c>
      <c r="Y146" s="89">
        <f t="shared" si="46"/>
        <v>0</v>
      </c>
      <c r="Z146" s="89">
        <f t="shared" si="54"/>
        <v>0</v>
      </c>
      <c r="AA146" s="89">
        <f t="shared" si="39"/>
        <v>0</v>
      </c>
      <c r="AB146" s="89">
        <f t="shared" si="55"/>
        <v>0</v>
      </c>
      <c r="AC146" s="89">
        <f t="shared" si="40"/>
        <v>0</v>
      </c>
      <c r="AD146" s="89">
        <f t="shared" si="41"/>
        <v>0</v>
      </c>
      <c r="AE146" s="89">
        <f t="shared" si="42"/>
        <v>0</v>
      </c>
      <c r="AF146" s="89">
        <f t="shared" si="43"/>
        <v>0</v>
      </c>
      <c r="AG146" s="89">
        <f t="shared" si="44"/>
        <v>0</v>
      </c>
      <c r="AH146" s="89">
        <f t="shared" si="45"/>
        <v>0</v>
      </c>
      <c r="AI146" s="89">
        <v>0</v>
      </c>
      <c r="AJ146" s="89"/>
      <c r="AK146" s="89">
        <v>0</v>
      </c>
      <c r="AL146" s="175">
        <f t="shared" si="58"/>
        <v>0</v>
      </c>
      <c r="AM146" s="298"/>
      <c r="AN146" s="121"/>
      <c r="AO146" s="121"/>
      <c r="AP146" s="265"/>
      <c r="AQ146" s="121"/>
      <c r="AR146" s="120"/>
    </row>
    <row r="147" spans="1:51" ht="23.25">
      <c r="A147" s="121"/>
      <c r="B147" s="303"/>
      <c r="C147" s="85">
        <v>38</v>
      </c>
      <c r="D147" s="85" t="s">
        <v>522</v>
      </c>
      <c r="E147" s="151" t="s">
        <v>152</v>
      </c>
      <c r="F147" s="85">
        <f>IF(AP127="failed", 1, 0)</f>
        <v>0</v>
      </c>
      <c r="G147" s="85">
        <v>0</v>
      </c>
      <c r="H147" s="85">
        <v>0</v>
      </c>
      <c r="I147" s="85">
        <v>30</v>
      </c>
      <c r="J147" s="85">
        <v>30</v>
      </c>
      <c r="K147" s="85">
        <v>0</v>
      </c>
      <c r="L147" s="85">
        <v>0</v>
      </c>
      <c r="M147" s="85">
        <v>0</v>
      </c>
      <c r="N147" s="85">
        <v>0</v>
      </c>
      <c r="O147" s="85">
        <v>0</v>
      </c>
      <c r="P147" s="85">
        <v>0</v>
      </c>
      <c r="Q147" s="85">
        <v>0</v>
      </c>
      <c r="R147" s="85">
        <v>0</v>
      </c>
      <c r="S147" s="85">
        <v>0</v>
      </c>
      <c r="T147" s="85">
        <f t="shared" si="56"/>
        <v>0</v>
      </c>
      <c r="U147" s="89"/>
      <c r="V147" s="89">
        <f t="shared" si="37"/>
        <v>0</v>
      </c>
      <c r="W147" s="89">
        <f t="shared" si="53"/>
        <v>0</v>
      </c>
      <c r="X147" s="89">
        <f t="shared" si="57"/>
        <v>0</v>
      </c>
      <c r="Y147" s="89">
        <f t="shared" si="46"/>
        <v>0</v>
      </c>
      <c r="Z147" s="89">
        <f t="shared" si="54"/>
        <v>0</v>
      </c>
      <c r="AA147" s="89">
        <f t="shared" si="39"/>
        <v>0</v>
      </c>
      <c r="AB147" s="89">
        <f t="shared" si="55"/>
        <v>0</v>
      </c>
      <c r="AC147" s="89">
        <f t="shared" si="40"/>
        <v>0</v>
      </c>
      <c r="AD147" s="89">
        <f t="shared" si="41"/>
        <v>0</v>
      </c>
      <c r="AE147" s="89">
        <f t="shared" si="42"/>
        <v>0</v>
      </c>
      <c r="AF147" s="89">
        <f t="shared" si="43"/>
        <v>0</v>
      </c>
      <c r="AG147" s="89">
        <f t="shared" si="44"/>
        <v>0</v>
      </c>
      <c r="AH147" s="89">
        <f t="shared" si="45"/>
        <v>0</v>
      </c>
      <c r="AI147" s="89">
        <v>0</v>
      </c>
      <c r="AJ147" s="89"/>
      <c r="AK147" s="89">
        <v>0</v>
      </c>
      <c r="AL147" s="175">
        <f t="shared" si="58"/>
        <v>0</v>
      </c>
      <c r="AM147" s="298"/>
      <c r="AN147" s="121"/>
      <c r="AO147" s="121"/>
      <c r="AP147" s="265"/>
      <c r="AQ147" s="121"/>
      <c r="AR147" s="120"/>
    </row>
    <row r="148" spans="1:51" ht="29.25" customHeight="1">
      <c r="A148" s="121"/>
      <c r="B148" s="303"/>
      <c r="C148" s="85">
        <v>40</v>
      </c>
      <c r="D148" s="85" t="s">
        <v>523</v>
      </c>
      <c r="E148" s="151" t="s">
        <v>212</v>
      </c>
      <c r="F148" s="85">
        <f>IF($AP$87="failed", 0, 1)</f>
        <v>1</v>
      </c>
      <c r="G148" s="85">
        <v>30</v>
      </c>
      <c r="H148" s="85">
        <v>0</v>
      </c>
      <c r="I148" s="85">
        <v>30</v>
      </c>
      <c r="J148" s="85">
        <v>60</v>
      </c>
      <c r="K148" s="85">
        <v>34.9</v>
      </c>
      <c r="L148" s="85">
        <v>0</v>
      </c>
      <c r="M148" s="85">
        <v>0</v>
      </c>
      <c r="N148" s="85">
        <v>0</v>
      </c>
      <c r="O148" s="85">
        <v>0</v>
      </c>
      <c r="P148" s="85">
        <v>0</v>
      </c>
      <c r="Q148" s="85">
        <v>0</v>
      </c>
      <c r="R148" s="85">
        <v>0</v>
      </c>
      <c r="S148" s="85">
        <v>0</v>
      </c>
      <c r="T148" s="85">
        <f t="shared" si="56"/>
        <v>124.9</v>
      </c>
      <c r="U148" s="89"/>
      <c r="V148" s="89">
        <f t="shared" ref="V148:V215" si="59">T148*$V$3*F148</f>
        <v>13.584411181385363</v>
      </c>
      <c r="W148" s="89">
        <f t="shared" si="53"/>
        <v>0</v>
      </c>
      <c r="X148" s="89">
        <f t="shared" si="57"/>
        <v>32.299999999999997</v>
      </c>
      <c r="Y148" s="89">
        <f t="shared" si="46"/>
        <v>50.212500000000006</v>
      </c>
      <c r="Z148" s="89">
        <f t="shared" si="54"/>
        <v>18.626046418116754</v>
      </c>
      <c r="AA148" s="89">
        <f t="shared" ref="AA148:AA215" si="60">L148*$AA$3*F148</f>
        <v>0</v>
      </c>
      <c r="AB148" s="89">
        <f t="shared" si="55"/>
        <v>72.838429315476191</v>
      </c>
      <c r="AC148" s="89">
        <f t="shared" ref="AC148:AC216" si="61">(IF(ISNUMBER(SEARCH("CCR7", E148)),K148*$AC$3, 0))*F148</f>
        <v>0</v>
      </c>
      <c r="AD148" s="89">
        <f t="shared" ref="AD148:AD216" si="62">(IF(ISNUMBER(SEARCH("CCR8", E148)),K148*$AD$3, 0))*F148</f>
        <v>64.400142535315084</v>
      </c>
      <c r="AE148" s="89">
        <f t="shared" ref="AE148:AE216" si="63">IF(ISNUMBER(SEARCH("CCR9", E148)),K148*$AE$3*F148, 0)</f>
        <v>0</v>
      </c>
      <c r="AF148" s="89">
        <f t="shared" ref="AF148:AF216" si="64">(IF(ISNUMBER(SEARCH("CCR10", E148)),K148*$AF$3, 0))*F148</f>
        <v>0</v>
      </c>
      <c r="AG148" s="89">
        <f t="shared" ref="AG148:AG216" si="65">IF(ISNUMBER(SEARCH("CCR11", E148)),T148*$AG$3, 0)</f>
        <v>0</v>
      </c>
      <c r="AH148" s="89">
        <f t="shared" ref="AH148:AH216" si="66">(IF(ISNUMBER(SEARCH("CCR12", E148)),T148*$AH$3, 0))*F148</f>
        <v>0</v>
      </c>
      <c r="AI148" s="89">
        <f>inputs!$E$47*F148</f>
        <v>42.026833333333336</v>
      </c>
      <c r="AJ148" s="89"/>
      <c r="AK148" s="89">
        <v>0</v>
      </c>
      <c r="AL148" s="188">
        <f t="shared" si="58"/>
        <v>293.98836278362671</v>
      </c>
      <c r="AM148" s="199" t="s">
        <v>73</v>
      </c>
      <c r="AN148" s="121"/>
      <c r="AO148" s="121"/>
      <c r="AP148" s="265"/>
      <c r="AQ148" s="120"/>
      <c r="AR148" s="120"/>
    </row>
    <row r="149" spans="1:51" ht="24" customHeight="1">
      <c r="A149" s="121"/>
      <c r="B149" s="303"/>
      <c r="C149" s="85">
        <v>41</v>
      </c>
      <c r="D149" s="85" t="s">
        <v>524</v>
      </c>
      <c r="E149" s="151" t="s">
        <v>230</v>
      </c>
      <c r="F149" s="85">
        <f>IF(AP124&gt;0, 1, 0)</f>
        <v>1</v>
      </c>
      <c r="G149" s="85">
        <v>0</v>
      </c>
      <c r="H149" s="85">
        <v>0</v>
      </c>
      <c r="I149" s="85">
        <v>0</v>
      </c>
      <c r="J149" s="85">
        <v>0</v>
      </c>
      <c r="K149" s="85">
        <v>12</v>
      </c>
      <c r="L149" s="85">
        <v>0</v>
      </c>
      <c r="M149" s="85">
        <v>0</v>
      </c>
      <c r="N149" s="85">
        <v>0</v>
      </c>
      <c r="O149" s="85">
        <v>0</v>
      </c>
      <c r="P149" s="85">
        <v>0</v>
      </c>
      <c r="Q149" s="85">
        <v>0</v>
      </c>
      <c r="R149" s="85">
        <v>0</v>
      </c>
      <c r="S149" s="85">
        <v>0</v>
      </c>
      <c r="T149" s="85">
        <f t="shared" si="56"/>
        <v>12</v>
      </c>
      <c r="U149" s="89"/>
      <c r="V149" s="89">
        <f t="shared" si="59"/>
        <v>1.3051475914861839</v>
      </c>
      <c r="W149" s="89">
        <f t="shared" si="53"/>
        <v>0</v>
      </c>
      <c r="X149" s="89">
        <f t="shared" si="57"/>
        <v>0</v>
      </c>
      <c r="Y149" s="89">
        <f t="shared" ref="Y149:Y216" si="67">J149*$Y$3*F149</f>
        <v>0</v>
      </c>
      <c r="Z149" s="89">
        <f t="shared" si="54"/>
        <v>0</v>
      </c>
      <c r="AA149" s="89">
        <f t="shared" si="60"/>
        <v>0</v>
      </c>
      <c r="AB149" s="89">
        <f t="shared" si="55"/>
        <v>25.044732142857143</v>
      </c>
      <c r="AC149" s="89">
        <f t="shared" si="61"/>
        <v>0</v>
      </c>
      <c r="AD149" s="89">
        <f t="shared" si="62"/>
        <v>22.143315484922095</v>
      </c>
      <c r="AE149" s="89">
        <f t="shared" si="63"/>
        <v>0</v>
      </c>
      <c r="AF149" s="89">
        <f t="shared" si="64"/>
        <v>11.257510060606062</v>
      </c>
      <c r="AG149" s="89">
        <f t="shared" si="65"/>
        <v>0</v>
      </c>
      <c r="AH149" s="89">
        <f t="shared" si="66"/>
        <v>0</v>
      </c>
      <c r="AI149" s="89">
        <v>0</v>
      </c>
      <c r="AJ149" s="89"/>
      <c r="AK149" s="89">
        <v>0</v>
      </c>
      <c r="AL149" s="189">
        <f t="shared" si="58"/>
        <v>59.750705279871482</v>
      </c>
      <c r="AM149" s="308" t="s">
        <v>369</v>
      </c>
      <c r="AN149" s="121"/>
      <c r="AO149" s="121"/>
      <c r="AP149" s="265"/>
      <c r="AQ149" s="120"/>
      <c r="AR149" s="120"/>
    </row>
    <row r="150" spans="1:51" ht="25.5" customHeight="1">
      <c r="A150" s="121"/>
      <c r="B150" s="303"/>
      <c r="C150" s="85">
        <v>42</v>
      </c>
      <c r="D150" s="85" t="s">
        <v>525</v>
      </c>
      <c r="E150" s="151" t="s">
        <v>158</v>
      </c>
      <c r="F150" s="85">
        <f>IF(OR((AP128="Cryo DMSO"), (AP128="Cryo Blasto")), 1, 0)</f>
        <v>1</v>
      </c>
      <c r="G150" s="85">
        <v>0</v>
      </c>
      <c r="H150" s="85">
        <v>0</v>
      </c>
      <c r="I150" s="85">
        <v>0</v>
      </c>
      <c r="J150" s="85">
        <v>0</v>
      </c>
      <c r="K150" s="85">
        <v>31</v>
      </c>
      <c r="L150" s="85">
        <v>0</v>
      </c>
      <c r="M150" s="85">
        <v>0</v>
      </c>
      <c r="N150" s="85">
        <v>0</v>
      </c>
      <c r="O150" s="85">
        <v>0</v>
      </c>
      <c r="P150" s="85">
        <v>0</v>
      </c>
      <c r="Q150" s="85">
        <v>0</v>
      </c>
      <c r="R150" s="85">
        <v>0</v>
      </c>
      <c r="S150" s="85">
        <v>0</v>
      </c>
      <c r="T150" s="85">
        <f t="shared" si="56"/>
        <v>31</v>
      </c>
      <c r="U150" s="89"/>
      <c r="V150" s="89">
        <f t="shared" si="59"/>
        <v>3.3716312780059745</v>
      </c>
      <c r="W150" s="89">
        <f t="shared" si="53"/>
        <v>0</v>
      </c>
      <c r="X150" s="89">
        <f t="shared" si="57"/>
        <v>0</v>
      </c>
      <c r="Y150" s="89">
        <f t="shared" si="67"/>
        <v>0</v>
      </c>
      <c r="Z150" s="89">
        <f t="shared" si="54"/>
        <v>0</v>
      </c>
      <c r="AA150" s="89">
        <f t="shared" si="60"/>
        <v>0</v>
      </c>
      <c r="AB150" s="89">
        <f t="shared" si="55"/>
        <v>64.698891369047615</v>
      </c>
      <c r="AC150" s="89">
        <f t="shared" si="61"/>
        <v>13.835366555542002</v>
      </c>
      <c r="AD150" s="89">
        <f t="shared" si="62"/>
        <v>0</v>
      </c>
      <c r="AE150" s="89">
        <f t="shared" si="63"/>
        <v>0</v>
      </c>
      <c r="AF150" s="89">
        <f t="shared" si="64"/>
        <v>29.08190098989899</v>
      </c>
      <c r="AG150" s="89">
        <f t="shared" si="65"/>
        <v>0</v>
      </c>
      <c r="AH150" s="89">
        <f t="shared" si="66"/>
        <v>0</v>
      </c>
      <c r="AI150" s="89">
        <v>0</v>
      </c>
      <c r="AJ150" s="89"/>
      <c r="AK150" s="89">
        <v>0</v>
      </c>
      <c r="AL150" s="189">
        <f t="shared" si="58"/>
        <v>110.9877901924946</v>
      </c>
      <c r="AM150" s="308"/>
      <c r="AN150" s="121"/>
      <c r="AO150" s="121"/>
      <c r="AP150" s="265"/>
      <c r="AQ150" s="121"/>
      <c r="AR150" s="120"/>
    </row>
    <row r="151" spans="1:51" ht="23.25">
      <c r="A151" s="121"/>
      <c r="B151" s="303"/>
      <c r="C151" s="85">
        <v>43</v>
      </c>
      <c r="D151" s="85" t="s">
        <v>526</v>
      </c>
      <c r="E151" s="151" t="s">
        <v>158</v>
      </c>
      <c r="F151" s="85">
        <f>IF(AP128="Vitri", 1,0)</f>
        <v>0</v>
      </c>
      <c r="G151" s="85">
        <v>0</v>
      </c>
      <c r="H151" s="85">
        <v>0</v>
      </c>
      <c r="I151" s="85">
        <v>0</v>
      </c>
      <c r="J151" s="85">
        <v>0</v>
      </c>
      <c r="K151" s="85">
        <v>27.6</v>
      </c>
      <c r="L151" s="85">
        <v>0</v>
      </c>
      <c r="M151" s="85">
        <v>0</v>
      </c>
      <c r="N151" s="85">
        <v>0</v>
      </c>
      <c r="O151" s="85">
        <v>0</v>
      </c>
      <c r="P151" s="85">
        <v>0</v>
      </c>
      <c r="Q151" s="85">
        <v>0</v>
      </c>
      <c r="R151" s="85">
        <v>0</v>
      </c>
      <c r="S151" s="85">
        <v>0</v>
      </c>
      <c r="T151" s="85">
        <f t="shared" si="56"/>
        <v>0</v>
      </c>
      <c r="U151" s="89"/>
      <c r="V151" s="89">
        <f t="shared" si="59"/>
        <v>0</v>
      </c>
      <c r="W151" s="89">
        <f t="shared" si="53"/>
        <v>0</v>
      </c>
      <c r="X151" s="89">
        <f t="shared" si="57"/>
        <v>0</v>
      </c>
      <c r="Y151" s="89">
        <f t="shared" si="67"/>
        <v>0</v>
      </c>
      <c r="Z151" s="89">
        <f t="shared" si="54"/>
        <v>0</v>
      </c>
      <c r="AA151" s="89">
        <f t="shared" si="60"/>
        <v>0</v>
      </c>
      <c r="AB151" s="89">
        <f t="shared" si="55"/>
        <v>0</v>
      </c>
      <c r="AC151" s="89">
        <f t="shared" si="61"/>
        <v>0</v>
      </c>
      <c r="AD151" s="89">
        <f t="shared" si="62"/>
        <v>0</v>
      </c>
      <c r="AE151" s="89">
        <f t="shared" si="63"/>
        <v>0</v>
      </c>
      <c r="AF151" s="89">
        <f t="shared" si="64"/>
        <v>0</v>
      </c>
      <c r="AG151" s="89">
        <f t="shared" si="65"/>
        <v>0</v>
      </c>
      <c r="AH151" s="89">
        <f t="shared" si="66"/>
        <v>0</v>
      </c>
      <c r="AI151" s="89">
        <f>inputs!E97*F151</f>
        <v>0</v>
      </c>
      <c r="AJ151" s="89"/>
      <c r="AK151" s="89">
        <v>0</v>
      </c>
      <c r="AL151" s="189">
        <f t="shared" si="58"/>
        <v>0</v>
      </c>
      <c r="AM151" s="308"/>
      <c r="AN151" s="121"/>
      <c r="AO151" s="120"/>
      <c r="AP151" s="265"/>
      <c r="AQ151" s="121"/>
      <c r="AR151" s="120"/>
    </row>
    <row r="152" spans="1:51" ht="23.25">
      <c r="A152" s="121"/>
      <c r="B152" s="303"/>
      <c r="C152" s="85">
        <v>44</v>
      </c>
      <c r="D152" s="85" t="s">
        <v>527</v>
      </c>
      <c r="E152" s="151" t="s">
        <v>156</v>
      </c>
      <c r="F152" s="85">
        <f>F149</f>
        <v>1</v>
      </c>
      <c r="G152" s="85">
        <v>0</v>
      </c>
      <c r="H152" s="85">
        <v>0</v>
      </c>
      <c r="I152" s="85">
        <v>0</v>
      </c>
      <c r="J152" s="85">
        <v>15</v>
      </c>
      <c r="K152" s="85">
        <v>5.6</v>
      </c>
      <c r="L152" s="85">
        <v>0</v>
      </c>
      <c r="M152" s="85">
        <v>0</v>
      </c>
      <c r="N152" s="85">
        <v>0</v>
      </c>
      <c r="O152" s="85">
        <v>0</v>
      </c>
      <c r="P152" s="85">
        <v>0</v>
      </c>
      <c r="Q152" s="85">
        <v>0</v>
      </c>
      <c r="R152" s="85">
        <v>0</v>
      </c>
      <c r="S152" s="85">
        <v>0</v>
      </c>
      <c r="T152" s="85">
        <f t="shared" si="56"/>
        <v>20.6</v>
      </c>
      <c r="U152" s="89"/>
      <c r="V152" s="89">
        <f t="shared" si="59"/>
        <v>2.2405033653846158</v>
      </c>
      <c r="W152" s="89">
        <f t="shared" si="53"/>
        <v>0</v>
      </c>
      <c r="X152" s="89">
        <f t="shared" si="57"/>
        <v>0</v>
      </c>
      <c r="Y152" s="89">
        <f t="shared" si="67"/>
        <v>12.553125000000001</v>
      </c>
      <c r="Z152" s="89">
        <f t="shared" si="54"/>
        <v>0</v>
      </c>
      <c r="AA152" s="89">
        <f t="shared" si="60"/>
        <v>0</v>
      </c>
      <c r="AB152" s="89">
        <f t="shared" si="55"/>
        <v>11.687541666666666</v>
      </c>
      <c r="AC152" s="89">
        <f t="shared" si="61"/>
        <v>0</v>
      </c>
      <c r="AD152" s="89">
        <f t="shared" si="62"/>
        <v>10.333547226296977</v>
      </c>
      <c r="AE152" s="89">
        <f t="shared" si="63"/>
        <v>0</v>
      </c>
      <c r="AF152" s="89">
        <f t="shared" si="64"/>
        <v>0</v>
      </c>
      <c r="AG152" s="89">
        <f t="shared" si="65"/>
        <v>0</v>
      </c>
      <c r="AH152" s="89">
        <f t="shared" si="66"/>
        <v>0</v>
      </c>
      <c r="AI152" s="89">
        <v>0</v>
      </c>
      <c r="AJ152" s="89"/>
      <c r="AK152" s="89">
        <v>0</v>
      </c>
      <c r="AL152" s="189">
        <f t="shared" si="58"/>
        <v>36.81471725834826</v>
      </c>
      <c r="AM152" s="309"/>
      <c r="AN152" s="120"/>
      <c r="AO152" s="120"/>
      <c r="AP152" s="265"/>
      <c r="AQ152" s="121"/>
      <c r="AR152" s="120"/>
    </row>
    <row r="153" spans="1:51" ht="23.25">
      <c r="A153" s="121"/>
      <c r="B153" s="303"/>
      <c r="C153" s="85">
        <v>45</v>
      </c>
      <c r="D153" s="85" t="s">
        <v>529</v>
      </c>
      <c r="E153" s="151" t="s">
        <v>152</v>
      </c>
      <c r="F153" s="85">
        <f>IF(F147&gt;0, 0, 1)</f>
        <v>1</v>
      </c>
      <c r="G153" s="85">
        <v>0</v>
      </c>
      <c r="H153" s="85">
        <v>0</v>
      </c>
      <c r="I153" s="85">
        <v>30</v>
      </c>
      <c r="J153" s="85">
        <v>30</v>
      </c>
      <c r="K153" s="85">
        <v>0</v>
      </c>
      <c r="L153" s="85">
        <v>0</v>
      </c>
      <c r="M153" s="85">
        <v>0</v>
      </c>
      <c r="N153" s="85">
        <v>0</v>
      </c>
      <c r="O153" s="85">
        <v>0</v>
      </c>
      <c r="P153" s="85">
        <v>0</v>
      </c>
      <c r="Q153" s="85">
        <v>0</v>
      </c>
      <c r="R153" s="85">
        <v>0</v>
      </c>
      <c r="S153" s="85">
        <v>0</v>
      </c>
      <c r="T153" s="85">
        <f t="shared" si="56"/>
        <v>60</v>
      </c>
      <c r="U153" s="89"/>
      <c r="V153" s="89">
        <f t="shared" si="59"/>
        <v>6.5257379574309189</v>
      </c>
      <c r="W153" s="89">
        <f t="shared" si="53"/>
        <v>0</v>
      </c>
      <c r="X153" s="89">
        <f t="shared" si="57"/>
        <v>32.299999999999997</v>
      </c>
      <c r="Y153" s="89">
        <f t="shared" si="67"/>
        <v>25.106250000000003</v>
      </c>
      <c r="Z153" s="89">
        <f t="shared" si="54"/>
        <v>12.417364278744502</v>
      </c>
      <c r="AA153" s="89">
        <f t="shared" si="60"/>
        <v>0</v>
      </c>
      <c r="AB153" s="89">
        <f t="shared" si="55"/>
        <v>0</v>
      </c>
      <c r="AC153" s="89">
        <f t="shared" si="61"/>
        <v>0</v>
      </c>
      <c r="AD153" s="89">
        <f t="shared" si="62"/>
        <v>0</v>
      </c>
      <c r="AE153" s="89">
        <f t="shared" si="63"/>
        <v>0</v>
      </c>
      <c r="AF153" s="89">
        <f t="shared" si="64"/>
        <v>0</v>
      </c>
      <c r="AG153" s="89">
        <f t="shared" si="65"/>
        <v>0</v>
      </c>
      <c r="AH153" s="89">
        <f t="shared" si="66"/>
        <v>0</v>
      </c>
      <c r="AI153" s="89">
        <v>0</v>
      </c>
      <c r="AJ153" s="89"/>
      <c r="AK153" s="89">
        <f>inputs!$E$40</f>
        <v>31.48</v>
      </c>
      <c r="AL153" s="155">
        <f>SUM(V153:AK153)</f>
        <v>107.82935223617542</v>
      </c>
      <c r="AM153" s="319" t="s">
        <v>461</v>
      </c>
      <c r="AN153" s="120"/>
      <c r="AO153" s="120"/>
      <c r="AP153" s="265"/>
      <c r="AQ153" s="121"/>
      <c r="AR153" s="120"/>
    </row>
    <row r="154" spans="1:51" ht="26.25" customHeight="1" thickBot="1">
      <c r="A154" s="121"/>
      <c r="B154" s="303"/>
      <c r="C154" s="85">
        <v>46</v>
      </c>
      <c r="D154" s="85" t="s">
        <v>528</v>
      </c>
      <c r="E154" s="151" t="s">
        <v>152</v>
      </c>
      <c r="F154" s="85">
        <v>1</v>
      </c>
      <c r="G154" s="85">
        <v>0</v>
      </c>
      <c r="H154" s="85">
        <v>30</v>
      </c>
      <c r="I154" s="85">
        <v>0</v>
      </c>
      <c r="J154" s="85">
        <v>0</v>
      </c>
      <c r="K154" s="85">
        <v>0</v>
      </c>
      <c r="L154" s="85">
        <v>0</v>
      </c>
      <c r="M154" s="85">
        <v>0</v>
      </c>
      <c r="N154" s="85">
        <v>0</v>
      </c>
      <c r="O154" s="85">
        <v>0</v>
      </c>
      <c r="P154" s="85">
        <v>0</v>
      </c>
      <c r="Q154" s="85">
        <v>0</v>
      </c>
      <c r="R154" s="85">
        <v>0</v>
      </c>
      <c r="S154" s="85">
        <v>0</v>
      </c>
      <c r="T154" s="85">
        <f t="shared" si="56"/>
        <v>30</v>
      </c>
      <c r="U154" s="89"/>
      <c r="V154" s="89">
        <f t="shared" si="59"/>
        <v>3.2628689787154594</v>
      </c>
      <c r="W154" s="89">
        <f t="shared" si="53"/>
        <v>57.543749999999996</v>
      </c>
      <c r="X154" s="89">
        <f t="shared" si="57"/>
        <v>0</v>
      </c>
      <c r="Y154" s="89">
        <f t="shared" si="67"/>
        <v>0</v>
      </c>
      <c r="Z154" s="89">
        <f t="shared" si="54"/>
        <v>6.2086821393722511</v>
      </c>
      <c r="AA154" s="89">
        <f t="shared" si="60"/>
        <v>0</v>
      </c>
      <c r="AB154" s="89">
        <f t="shared" si="55"/>
        <v>0</v>
      </c>
      <c r="AC154" s="89">
        <f t="shared" si="61"/>
        <v>0</v>
      </c>
      <c r="AD154" s="89">
        <f t="shared" si="62"/>
        <v>0</v>
      </c>
      <c r="AE154" s="89">
        <f t="shared" si="63"/>
        <v>0</v>
      </c>
      <c r="AF154" s="89">
        <f t="shared" si="64"/>
        <v>0</v>
      </c>
      <c r="AG154" s="89">
        <f t="shared" si="65"/>
        <v>0</v>
      </c>
      <c r="AH154" s="89">
        <f t="shared" si="66"/>
        <v>0</v>
      </c>
      <c r="AI154" s="89">
        <v>0</v>
      </c>
      <c r="AJ154" s="89"/>
      <c r="AK154" s="89">
        <v>0</v>
      </c>
      <c r="AL154" s="156">
        <f>SUM(V154:AK154)</f>
        <v>67.015301118087706</v>
      </c>
      <c r="AM154" s="315"/>
      <c r="AN154" s="180"/>
      <c r="AO154" s="120"/>
      <c r="AP154" s="265"/>
      <c r="AQ154" s="121"/>
      <c r="AR154" s="120"/>
    </row>
    <row r="155" spans="1:51" ht="24.75" customHeight="1" thickTop="1">
      <c r="A155" s="121"/>
      <c r="B155" s="304"/>
      <c r="C155" s="13"/>
      <c r="D155" s="118"/>
      <c r="E155" s="252" t="s">
        <v>552</v>
      </c>
      <c r="F155" s="119"/>
      <c r="G155" s="253">
        <f>($F143*G143)+($F144*G144)+($F145*G145)+($F146*G146)+($F147*G147)+($F148*G148)+($F149*G149)+($F150*G150)+($F151*G151)+($F152*G152)+($F153*G153)+($F154*G154)+($F142*G142)+($F141*G141)+($F140*G140)+($F139*G139)+($F138*G138)+($F137*G137)+($F136*G136)+($F135*G135)+($F134*G134)+(F133*G133)+(F132*G132)+(F131*G131)+(F130*G130)+($F129*G129)+($F128*G128)+($F127*G127)+($F126*G126)+($F125*G125)+($F124*G124)+($F123*G123)+($F122*G122)+($F121*G121)+($F120*G120)+($F119*G119)+($F118*G118)+($F117*G117)+($F116*G116)</f>
        <v>435</v>
      </c>
      <c r="H155" s="253">
        <f>($F143*H143)+($F144*H144)+($F145*H145)+($F146*H146)+($F147*H147)+($F148*H148)+($F149*H149)+($F150*H150)+($F151*H151)+($F152*H152)+($F153*H153)+($F154*H154)+($F142*H142)+($F141*H141)+($F140*H140)+($F139*H139)+($F138*H138)+($F137*H137)+($F136*H136)+($F135*H135)+($F134*H134)+($F133*H133)+($F132*H132)+($F131*H131)+($F130*H130)+($F129*H129)+($F128*H128)+($F127*H127)+($F126*H126)+($F125*H125)+($F124*H124)+($F123*H123)+($F122*H122)+($F121*H121)+($F120*H120)+($F119*H119)+($F118*H118)+($F117*H117)+($F116*H116)</f>
        <v>30</v>
      </c>
      <c r="I155" s="253">
        <f t="shared" ref="I155:S155" si="68">($F143*I143)+($F144*I144)+($F145*I145)+($F146*I146)+($F147*I147)+($F148*I148)+($F149*I149)+($F150*I150)+($F151*I151)+($F152*I152)+($F153*I153)+($F154*I154)+($F142*I142)+($F141*I141)+($F140*I140)+($F139*I139)+($F138*I138)+($F137*I137)+($F136*I136)+($F135*I135)+($F134*I134)+($F133*I133)+($F132*I132)+($F131*I131)+($F130*I130)+($F129*I129)+($F128*I128)+($F127*I127)+($F126*I126)+($F125*I125)+($F124*I124)+($F123*I123)+($F122*I122)+($F121*I121)+($F120*I120)+($F119*I119)+($F118*I118)+($F117*I117)+($F116*I116)</f>
        <v>190</v>
      </c>
      <c r="J155" s="253">
        <f t="shared" si="68"/>
        <v>345</v>
      </c>
      <c r="K155" s="253">
        <f t="shared" si="68"/>
        <v>386.46862094395277</v>
      </c>
      <c r="L155" s="253">
        <f t="shared" si="68"/>
        <v>0</v>
      </c>
      <c r="M155" s="253">
        <f>($F143*M143)+($F144*M144)+($F145*M145)+($F146*M146)+($F147*M147)+($F148*M148)+($F149*M149)+($F150*M150)+($F151*M151)+($F152*M152)+($F153*M153)+($F154*M154)+($F142*M142)+($F141*M141)+($F140*M140)+($F139*M139)+($F138*M138)+($F137*M137)+($F136*M136)+($F135*M135)+($F134*M134)+($F133*M133)+($F132*M132)+($F131*M131)+($F130*M130)+($F129*M129)+($F128*M128)+($F127*M127)+($F126*M126)+($F125*M125)+($F124*M124)+($F123*M123)+($F122*M122)+($F121*M121)+($F120*M120)+($F119*M119)+($F118*M118)+($F117*M117)+($F116*M116)</f>
        <v>0</v>
      </c>
      <c r="N155" s="253">
        <f t="shared" si="68"/>
        <v>0</v>
      </c>
      <c r="O155" s="253">
        <f t="shared" si="68"/>
        <v>0</v>
      </c>
      <c r="P155" s="253">
        <f t="shared" si="68"/>
        <v>0</v>
      </c>
      <c r="Q155" s="253">
        <f t="shared" si="68"/>
        <v>60</v>
      </c>
      <c r="R155" s="253">
        <f t="shared" si="68"/>
        <v>0</v>
      </c>
      <c r="S155" s="253">
        <f t="shared" si="68"/>
        <v>0</v>
      </c>
      <c r="T155" s="253">
        <f t="shared" ref="T155:AL155" si="69">SUM(T116:T154)</f>
        <v>1011.4686209439531</v>
      </c>
      <c r="U155" s="253">
        <f t="shared" si="69"/>
        <v>0</v>
      </c>
      <c r="V155" s="253">
        <f t="shared" si="69"/>
        <v>110.00965287407099</v>
      </c>
      <c r="W155" s="253">
        <f t="shared" si="69"/>
        <v>57.543749999999996</v>
      </c>
      <c r="X155" s="253">
        <f t="shared" si="69"/>
        <v>204.56666666666666</v>
      </c>
      <c r="Y155" s="253">
        <f t="shared" si="69"/>
        <v>288.72187500000007</v>
      </c>
      <c r="Z155" s="253">
        <f t="shared" si="69"/>
        <v>91.060671377459698</v>
      </c>
      <c r="AA155" s="253">
        <f t="shared" si="69"/>
        <v>0</v>
      </c>
      <c r="AB155" s="253">
        <f t="shared" si="69"/>
        <v>806.58359109672392</v>
      </c>
      <c r="AC155" s="253">
        <f t="shared" si="69"/>
        <v>125.53636817462353</v>
      </c>
      <c r="AD155" s="253">
        <f t="shared" si="69"/>
        <v>299.62673765535203</v>
      </c>
      <c r="AE155" s="253">
        <f t="shared" si="69"/>
        <v>210.51535521478897</v>
      </c>
      <c r="AF155" s="253">
        <f t="shared" si="69"/>
        <v>40.339411050505049</v>
      </c>
      <c r="AG155" s="253">
        <f t="shared" si="69"/>
        <v>0</v>
      </c>
      <c r="AH155" s="253">
        <f t="shared" si="69"/>
        <v>0</v>
      </c>
      <c r="AI155" s="253">
        <f t="shared" si="69"/>
        <v>145.36700333333334</v>
      </c>
      <c r="AJ155" s="253">
        <f t="shared" si="69"/>
        <v>526.80571428571432</v>
      </c>
      <c r="AK155" s="253">
        <f t="shared" si="69"/>
        <v>85.2</v>
      </c>
      <c r="AL155" s="200">
        <f t="shared" si="69"/>
        <v>2991.8767967292388</v>
      </c>
      <c r="AM155" s="180"/>
      <c r="AN155" s="180"/>
      <c r="AO155" s="120"/>
      <c r="AP155" s="265"/>
      <c r="AQ155" s="121"/>
      <c r="AR155" s="120"/>
    </row>
    <row r="156" spans="1:51" ht="16.5" customHeight="1" thickBot="1">
      <c r="A156" s="121"/>
      <c r="B156" s="120"/>
      <c r="C156" s="167"/>
      <c r="D156" s="120"/>
      <c r="E156" s="120"/>
      <c r="F156" s="109"/>
      <c r="G156" s="168"/>
      <c r="H156" s="176"/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69">
        <f>T155-Q155</f>
        <v>951.46862094395306</v>
      </c>
      <c r="U156" s="169"/>
      <c r="V156" s="170"/>
      <c r="W156" s="159"/>
      <c r="X156" s="159"/>
      <c r="Y156" s="159"/>
      <c r="Z156" s="159"/>
      <c r="AA156" s="159"/>
      <c r="AB156" s="159"/>
      <c r="AC156" s="159"/>
      <c r="AD156" s="159"/>
      <c r="AE156" s="159"/>
      <c r="AF156" s="159"/>
      <c r="AG156" s="159"/>
      <c r="AH156" s="159"/>
      <c r="AI156" s="171"/>
      <c r="AJ156" s="120"/>
      <c r="AK156" s="120"/>
      <c r="AL156" s="170"/>
      <c r="AM156" s="180"/>
      <c r="AN156" s="180"/>
      <c r="AO156" s="120"/>
      <c r="AP156" s="120"/>
      <c r="AQ156" s="121"/>
      <c r="AR156" s="120"/>
    </row>
    <row r="157" spans="1:51" ht="24" customHeight="1" thickBot="1">
      <c r="A157" s="121"/>
      <c r="B157" s="302" t="s">
        <v>463</v>
      </c>
      <c r="C157" s="83">
        <v>1</v>
      </c>
      <c r="D157" s="83" t="s">
        <v>498</v>
      </c>
      <c r="E157" s="150" t="s">
        <v>68</v>
      </c>
      <c r="F157" s="83">
        <f>IF($AP$117="yes", 1, 0)</f>
        <v>0</v>
      </c>
      <c r="G157" s="83">
        <v>0</v>
      </c>
      <c r="H157" s="83">
        <v>0</v>
      </c>
      <c r="I157" s="83">
        <v>0</v>
      </c>
      <c r="J157" s="83">
        <v>90</v>
      </c>
      <c r="K157" s="83">
        <v>0</v>
      </c>
      <c r="L157" s="83">
        <v>0</v>
      </c>
      <c r="M157" s="83">
        <v>0</v>
      </c>
      <c r="N157" s="83">
        <v>0</v>
      </c>
      <c r="O157" s="83">
        <v>0</v>
      </c>
      <c r="P157" s="83">
        <v>0</v>
      </c>
      <c r="Q157" s="83">
        <v>30</v>
      </c>
      <c r="R157" s="83">
        <v>0</v>
      </c>
      <c r="S157" s="83">
        <v>0</v>
      </c>
      <c r="T157" s="83">
        <f t="shared" ref="T157:T162" si="70">SUM(H157:S157)*F157</f>
        <v>0</v>
      </c>
      <c r="U157" s="88"/>
      <c r="V157" s="88">
        <f t="shared" si="59"/>
        <v>0</v>
      </c>
      <c r="W157" s="88">
        <f>H157*$W$3*F157</f>
        <v>0</v>
      </c>
      <c r="X157" s="88">
        <f>I157*$X$3*F157</f>
        <v>0</v>
      </c>
      <c r="Y157" s="88">
        <f t="shared" si="67"/>
        <v>0</v>
      </c>
      <c r="Z157" s="88">
        <f>IF(ISNUMBER(SEARCH("CCR4", E157)),(T157-K157)*$Z$3, 0)</f>
        <v>0</v>
      </c>
      <c r="AA157" s="88">
        <f t="shared" si="60"/>
        <v>0</v>
      </c>
      <c r="AB157" s="88">
        <f>K157*$AB$3*F157</f>
        <v>0</v>
      </c>
      <c r="AC157" s="88">
        <f t="shared" si="61"/>
        <v>0</v>
      </c>
      <c r="AD157" s="88">
        <f t="shared" si="62"/>
        <v>0</v>
      </c>
      <c r="AE157" s="88">
        <f t="shared" si="63"/>
        <v>0</v>
      </c>
      <c r="AF157" s="88">
        <f t="shared" si="64"/>
        <v>0</v>
      </c>
      <c r="AG157" s="88">
        <f t="shared" si="65"/>
        <v>0</v>
      </c>
      <c r="AH157" s="88">
        <f t="shared" si="66"/>
        <v>0</v>
      </c>
      <c r="AI157" s="88">
        <v>0</v>
      </c>
      <c r="AJ157" s="88"/>
      <c r="AK157" s="88">
        <v>0</v>
      </c>
      <c r="AL157" s="152">
        <f>SUM(V157:AK157)*F157</f>
        <v>0</v>
      </c>
      <c r="AM157" s="310" t="s">
        <v>366</v>
      </c>
      <c r="AN157" s="170"/>
      <c r="AO157" s="240" t="s">
        <v>451</v>
      </c>
      <c r="AP157" s="240" t="s">
        <v>49</v>
      </c>
      <c r="AQ157" s="240" t="s">
        <v>452</v>
      </c>
      <c r="AR157" s="120"/>
      <c r="AT157" s="38" t="s">
        <v>194</v>
      </c>
      <c r="AU157" s="39" t="s">
        <v>362</v>
      </c>
      <c r="AX157" s="38" t="s">
        <v>378</v>
      </c>
      <c r="AY157" s="38" t="s">
        <v>381</v>
      </c>
    </row>
    <row r="158" spans="1:51" ht="23.25">
      <c r="A158" s="121"/>
      <c r="B158" s="303"/>
      <c r="C158" s="85">
        <v>2</v>
      </c>
      <c r="D158" s="85" t="s">
        <v>499</v>
      </c>
      <c r="E158" s="151" t="s">
        <v>52</v>
      </c>
      <c r="F158" s="85">
        <v>1</v>
      </c>
      <c r="G158" s="85">
        <v>0</v>
      </c>
      <c r="H158" s="85">
        <v>0</v>
      </c>
      <c r="I158" s="85">
        <v>0</v>
      </c>
      <c r="J158" s="85">
        <v>30</v>
      </c>
      <c r="K158" s="85">
        <v>0</v>
      </c>
      <c r="L158" s="85">
        <v>0</v>
      </c>
      <c r="M158" s="85">
        <v>0</v>
      </c>
      <c r="N158" s="85">
        <v>0</v>
      </c>
      <c r="O158" s="85">
        <v>0</v>
      </c>
      <c r="P158" s="85">
        <v>0</v>
      </c>
      <c r="Q158" s="85">
        <v>30</v>
      </c>
      <c r="R158" s="85">
        <v>0</v>
      </c>
      <c r="S158" s="85">
        <v>0</v>
      </c>
      <c r="T158" s="85">
        <f t="shared" si="70"/>
        <v>60</v>
      </c>
      <c r="U158" s="89"/>
      <c r="V158" s="89">
        <f t="shared" si="59"/>
        <v>6.5257379574309189</v>
      </c>
      <c r="W158" s="89">
        <f t="shared" ref="W158:W225" si="71">H158*$W$3*F158</f>
        <v>0</v>
      </c>
      <c r="X158" s="89">
        <f t="shared" si="57"/>
        <v>0</v>
      </c>
      <c r="Y158" s="89">
        <f t="shared" si="67"/>
        <v>25.106250000000003</v>
      </c>
      <c r="Z158" s="89">
        <f t="shared" ref="Z158:Z225" si="72">IF(ISNUMBER(SEARCH("CCR4", E158)),(T158-K158)*$Z$3, 0)</f>
        <v>0</v>
      </c>
      <c r="AA158" s="89">
        <f t="shared" si="60"/>
        <v>0</v>
      </c>
      <c r="AB158" s="89">
        <f t="shared" ref="AB158:AB225" si="73">K158*$AB$3*F158</f>
        <v>0</v>
      </c>
      <c r="AC158" s="89">
        <f t="shared" si="61"/>
        <v>0</v>
      </c>
      <c r="AD158" s="89">
        <f t="shared" si="62"/>
        <v>0</v>
      </c>
      <c r="AE158" s="89">
        <f t="shared" si="63"/>
        <v>0</v>
      </c>
      <c r="AF158" s="89">
        <f t="shared" si="64"/>
        <v>0</v>
      </c>
      <c r="AG158" s="89">
        <f t="shared" si="65"/>
        <v>0</v>
      </c>
      <c r="AH158" s="89">
        <f t="shared" si="66"/>
        <v>0</v>
      </c>
      <c r="AI158" s="89">
        <v>0</v>
      </c>
      <c r="AJ158" s="89"/>
      <c r="AK158" s="89">
        <v>0</v>
      </c>
      <c r="AL158" s="153">
        <f t="shared" ref="AL158:AL166" si="74">SUM(V158:AK158)*F158</f>
        <v>31.631987957430923</v>
      </c>
      <c r="AM158" s="311"/>
      <c r="AN158" s="170"/>
      <c r="AO158" s="190" t="s">
        <v>58</v>
      </c>
      <c r="AP158" s="183" t="s">
        <v>18</v>
      </c>
      <c r="AQ158" s="184" t="s">
        <v>57</v>
      </c>
      <c r="AR158" s="120"/>
      <c r="AT158" s="40" t="s">
        <v>278</v>
      </c>
      <c r="AU158" s="293" t="s">
        <v>370</v>
      </c>
      <c r="AX158" s="44" t="s">
        <v>225</v>
      </c>
      <c r="AY158" s="73">
        <f>SUM(AI157:AI200)+SUM(AK157:AK200)</f>
        <v>146.84293333333335</v>
      </c>
    </row>
    <row r="159" spans="1:51" ht="24" thickBot="1">
      <c r="A159" s="121"/>
      <c r="B159" s="303"/>
      <c r="C159" s="85">
        <v>3</v>
      </c>
      <c r="D159" s="85" t="s">
        <v>500</v>
      </c>
      <c r="E159" s="151" t="s">
        <v>52</v>
      </c>
      <c r="F159" s="85">
        <v>1</v>
      </c>
      <c r="G159" s="85">
        <v>0</v>
      </c>
      <c r="H159" s="85">
        <v>0</v>
      </c>
      <c r="I159" s="85">
        <v>0</v>
      </c>
      <c r="J159" s="85">
        <v>5</v>
      </c>
      <c r="K159" s="85">
        <v>0</v>
      </c>
      <c r="L159" s="85">
        <v>0</v>
      </c>
      <c r="M159" s="85">
        <v>0</v>
      </c>
      <c r="N159" s="85">
        <v>0</v>
      </c>
      <c r="O159" s="85">
        <v>0</v>
      </c>
      <c r="P159" s="85">
        <v>0</v>
      </c>
      <c r="Q159" s="85">
        <v>0</v>
      </c>
      <c r="R159" s="85">
        <v>0</v>
      </c>
      <c r="S159" s="85">
        <v>0</v>
      </c>
      <c r="T159" s="85">
        <f t="shared" si="70"/>
        <v>5</v>
      </c>
      <c r="U159" s="89"/>
      <c r="V159" s="89">
        <f t="shared" si="59"/>
        <v>0.54381149645257654</v>
      </c>
      <c r="W159" s="89">
        <f t="shared" si="71"/>
        <v>0</v>
      </c>
      <c r="X159" s="89">
        <f t="shared" si="57"/>
        <v>0</v>
      </c>
      <c r="Y159" s="89">
        <f t="shared" si="67"/>
        <v>4.1843750000000011</v>
      </c>
      <c r="Z159" s="89">
        <f t="shared" si="72"/>
        <v>0</v>
      </c>
      <c r="AA159" s="89">
        <f t="shared" si="60"/>
        <v>0</v>
      </c>
      <c r="AB159" s="89">
        <f t="shared" si="73"/>
        <v>0</v>
      </c>
      <c r="AC159" s="89">
        <f t="shared" si="61"/>
        <v>0</v>
      </c>
      <c r="AD159" s="89">
        <f t="shared" si="62"/>
        <v>0</v>
      </c>
      <c r="AE159" s="89">
        <f t="shared" si="63"/>
        <v>0</v>
      </c>
      <c r="AF159" s="89">
        <f t="shared" si="64"/>
        <v>0</v>
      </c>
      <c r="AG159" s="89">
        <f t="shared" si="65"/>
        <v>0</v>
      </c>
      <c r="AH159" s="89">
        <f t="shared" si="66"/>
        <v>0</v>
      </c>
      <c r="AI159" s="89">
        <v>0</v>
      </c>
      <c r="AJ159" s="89"/>
      <c r="AK159" s="89">
        <v>0</v>
      </c>
      <c r="AL159" s="153">
        <f t="shared" si="74"/>
        <v>4.7281864964525777</v>
      </c>
      <c r="AM159" s="311"/>
      <c r="AN159" s="170"/>
      <c r="AO159" s="191" t="s">
        <v>170</v>
      </c>
      <c r="AP159" s="182" t="s">
        <v>65</v>
      </c>
      <c r="AQ159" s="185" t="s">
        <v>64</v>
      </c>
      <c r="AR159" s="120"/>
      <c r="AT159" s="41"/>
      <c r="AU159" s="294"/>
      <c r="AX159" s="44" t="s">
        <v>226</v>
      </c>
      <c r="AY159" s="73">
        <f>SUM(AJ157:AJ200)</f>
        <v>526.80571428571432</v>
      </c>
    </row>
    <row r="160" spans="1:51" ht="41.25" thickBot="1">
      <c r="A160" s="121"/>
      <c r="B160" s="303"/>
      <c r="C160" s="85">
        <v>4</v>
      </c>
      <c r="D160" s="85" t="s">
        <v>501</v>
      </c>
      <c r="E160" s="151" t="s">
        <v>68</v>
      </c>
      <c r="F160" s="85">
        <v>1</v>
      </c>
      <c r="G160" s="85">
        <v>0</v>
      </c>
      <c r="H160" s="85">
        <v>0</v>
      </c>
      <c r="I160" s="85">
        <v>0</v>
      </c>
      <c r="J160" s="85">
        <v>0</v>
      </c>
      <c r="K160" s="85">
        <v>0</v>
      </c>
      <c r="L160" s="85">
        <v>0</v>
      </c>
      <c r="M160" s="85">
        <v>0</v>
      </c>
      <c r="N160" s="85">
        <v>0</v>
      </c>
      <c r="O160" s="85">
        <v>0</v>
      </c>
      <c r="P160" s="85">
        <v>0</v>
      </c>
      <c r="Q160" s="85">
        <v>30</v>
      </c>
      <c r="R160" s="85">
        <v>0</v>
      </c>
      <c r="S160" s="85">
        <v>0</v>
      </c>
      <c r="T160" s="85">
        <f t="shared" si="70"/>
        <v>30</v>
      </c>
      <c r="U160" s="89"/>
      <c r="V160" s="89">
        <f t="shared" si="59"/>
        <v>3.2628689787154594</v>
      </c>
      <c r="W160" s="89">
        <f t="shared" si="71"/>
        <v>0</v>
      </c>
      <c r="X160" s="89">
        <f t="shared" si="57"/>
        <v>0</v>
      </c>
      <c r="Y160" s="89">
        <f t="shared" si="67"/>
        <v>0</v>
      </c>
      <c r="Z160" s="89">
        <f t="shared" si="72"/>
        <v>0</v>
      </c>
      <c r="AA160" s="89">
        <f t="shared" si="60"/>
        <v>0</v>
      </c>
      <c r="AB160" s="89">
        <f t="shared" si="73"/>
        <v>0</v>
      </c>
      <c r="AC160" s="89">
        <f t="shared" si="61"/>
        <v>0</v>
      </c>
      <c r="AD160" s="89">
        <f t="shared" si="62"/>
        <v>0</v>
      </c>
      <c r="AE160" s="89">
        <f t="shared" si="63"/>
        <v>0</v>
      </c>
      <c r="AF160" s="89">
        <f t="shared" si="64"/>
        <v>0</v>
      </c>
      <c r="AG160" s="89">
        <f t="shared" si="65"/>
        <v>0</v>
      </c>
      <c r="AH160" s="89">
        <f t="shared" si="66"/>
        <v>0</v>
      </c>
      <c r="AI160" s="89">
        <v>0</v>
      </c>
      <c r="AJ160" s="89">
        <f>inputs!$E$28</f>
        <v>508.58571428571429</v>
      </c>
      <c r="AK160" s="89">
        <v>0</v>
      </c>
      <c r="AL160" s="153">
        <f t="shared" si="74"/>
        <v>511.84858326442975</v>
      </c>
      <c r="AM160" s="311"/>
      <c r="AN160" s="170"/>
      <c r="AO160" s="191" t="s">
        <v>169</v>
      </c>
      <c r="AP160" s="182">
        <v>4</v>
      </c>
      <c r="AQ160" s="185" t="s">
        <v>82</v>
      </c>
      <c r="AR160" s="120"/>
      <c r="AT160" s="42" t="s">
        <v>199</v>
      </c>
      <c r="AU160" s="43"/>
      <c r="AX160" s="44" t="s">
        <v>205</v>
      </c>
      <c r="AY160" s="73">
        <f>SUM(V157:V200)</f>
        <v>116.36430389016903</v>
      </c>
    </row>
    <row r="161" spans="1:51" ht="23.25">
      <c r="A161" s="121"/>
      <c r="B161" s="303"/>
      <c r="C161" s="85">
        <v>5</v>
      </c>
      <c r="D161" s="85" t="s">
        <v>502</v>
      </c>
      <c r="E161" s="151" t="s">
        <v>152</v>
      </c>
      <c r="F161" s="85">
        <v>1</v>
      </c>
      <c r="G161" s="85">
        <v>0</v>
      </c>
      <c r="H161" s="85">
        <v>0</v>
      </c>
      <c r="I161" s="85">
        <v>30</v>
      </c>
      <c r="J161" s="85">
        <v>30</v>
      </c>
      <c r="K161" s="85">
        <v>0</v>
      </c>
      <c r="L161" s="85">
        <v>0</v>
      </c>
      <c r="M161" s="85">
        <v>0</v>
      </c>
      <c r="N161" s="85">
        <v>0</v>
      </c>
      <c r="O161" s="85">
        <v>0</v>
      </c>
      <c r="P161" s="85">
        <v>0</v>
      </c>
      <c r="Q161" s="85">
        <v>0</v>
      </c>
      <c r="R161" s="85">
        <v>0</v>
      </c>
      <c r="S161" s="85">
        <v>0</v>
      </c>
      <c r="T161" s="85">
        <f t="shared" si="70"/>
        <v>60</v>
      </c>
      <c r="U161" s="89"/>
      <c r="V161" s="89">
        <f t="shared" si="59"/>
        <v>6.5257379574309189</v>
      </c>
      <c r="W161" s="89">
        <f t="shared" si="71"/>
        <v>0</v>
      </c>
      <c r="X161" s="89">
        <f>I161*$X$3*F161</f>
        <v>32.299999999999997</v>
      </c>
      <c r="Y161" s="89">
        <f t="shared" si="67"/>
        <v>25.106250000000003</v>
      </c>
      <c r="Z161" s="89">
        <f t="shared" si="72"/>
        <v>12.417364278744502</v>
      </c>
      <c r="AA161" s="89">
        <f t="shared" si="60"/>
        <v>0</v>
      </c>
      <c r="AB161" s="89">
        <f t="shared" si="73"/>
        <v>0</v>
      </c>
      <c r="AC161" s="89">
        <f t="shared" si="61"/>
        <v>0</v>
      </c>
      <c r="AD161" s="89">
        <f t="shared" si="62"/>
        <v>0</v>
      </c>
      <c r="AE161" s="89">
        <f t="shared" si="63"/>
        <v>0</v>
      </c>
      <c r="AF161" s="89">
        <f t="shared" si="64"/>
        <v>0</v>
      </c>
      <c r="AG161" s="89">
        <f t="shared" si="65"/>
        <v>0</v>
      </c>
      <c r="AH161" s="89">
        <f t="shared" si="66"/>
        <v>0</v>
      </c>
      <c r="AI161" s="89">
        <v>0</v>
      </c>
      <c r="AJ161" s="89"/>
      <c r="AK161" s="89">
        <v>0</v>
      </c>
      <c r="AL161" s="153">
        <f t="shared" si="74"/>
        <v>76.34935223617542</v>
      </c>
      <c r="AM161" s="311"/>
      <c r="AN161" s="170"/>
      <c r="AO161" s="191" t="s">
        <v>63</v>
      </c>
      <c r="AP161" s="182">
        <v>1</v>
      </c>
      <c r="AQ161" s="185" t="s">
        <v>82</v>
      </c>
      <c r="AR161" s="120"/>
      <c r="AT161" s="44" t="s">
        <v>222</v>
      </c>
      <c r="AU161" s="45"/>
      <c r="AX161" s="44" t="s">
        <v>206</v>
      </c>
      <c r="AY161" s="73">
        <f>SUM(W157:W200)</f>
        <v>57.543749999999996</v>
      </c>
    </row>
    <row r="162" spans="1:51" ht="23.25">
      <c r="A162" s="121"/>
      <c r="B162" s="303"/>
      <c r="C162" s="85">
        <v>6</v>
      </c>
      <c r="D162" s="85" t="s">
        <v>503</v>
      </c>
      <c r="E162" s="151" t="s">
        <v>52</v>
      </c>
      <c r="F162" s="85">
        <v>0</v>
      </c>
      <c r="G162" s="85">
        <v>0</v>
      </c>
      <c r="H162" s="85">
        <v>0</v>
      </c>
      <c r="I162" s="85">
        <v>0</v>
      </c>
      <c r="J162" s="85">
        <v>5</v>
      </c>
      <c r="K162" s="85">
        <v>0</v>
      </c>
      <c r="L162" s="85">
        <v>0</v>
      </c>
      <c r="M162" s="85">
        <v>0</v>
      </c>
      <c r="N162" s="85">
        <v>0</v>
      </c>
      <c r="O162" s="85">
        <v>0</v>
      </c>
      <c r="P162" s="85">
        <v>0</v>
      </c>
      <c r="Q162" s="85">
        <v>0</v>
      </c>
      <c r="R162" s="85">
        <v>0</v>
      </c>
      <c r="S162" s="85">
        <v>0</v>
      </c>
      <c r="T162" s="85">
        <f t="shared" si="70"/>
        <v>0</v>
      </c>
      <c r="U162" s="89"/>
      <c r="V162" s="89">
        <f t="shared" si="59"/>
        <v>0</v>
      </c>
      <c r="W162" s="89">
        <f t="shared" si="71"/>
        <v>0</v>
      </c>
      <c r="X162" s="89">
        <f t="shared" si="57"/>
        <v>0</v>
      </c>
      <c r="Y162" s="89">
        <f t="shared" si="67"/>
        <v>0</v>
      </c>
      <c r="Z162" s="89">
        <f t="shared" si="72"/>
        <v>0</v>
      </c>
      <c r="AA162" s="89">
        <f t="shared" si="60"/>
        <v>0</v>
      </c>
      <c r="AB162" s="89">
        <f t="shared" si="73"/>
        <v>0</v>
      </c>
      <c r="AC162" s="89">
        <f t="shared" si="61"/>
        <v>0</v>
      </c>
      <c r="AD162" s="89">
        <f t="shared" si="62"/>
        <v>0</v>
      </c>
      <c r="AE162" s="89">
        <f t="shared" si="63"/>
        <v>0</v>
      </c>
      <c r="AF162" s="89">
        <f t="shared" si="64"/>
        <v>0</v>
      </c>
      <c r="AG162" s="89">
        <f t="shared" si="65"/>
        <v>0</v>
      </c>
      <c r="AH162" s="89">
        <f t="shared" si="66"/>
        <v>0</v>
      </c>
      <c r="AI162" s="89">
        <v>0</v>
      </c>
      <c r="AJ162" s="89"/>
      <c r="AK162" s="89">
        <f>inputs!$E$37*$F$162</f>
        <v>0</v>
      </c>
      <c r="AL162" s="153">
        <f t="shared" si="74"/>
        <v>0</v>
      </c>
      <c r="AM162" s="311"/>
      <c r="AN162" s="170"/>
      <c r="AO162" s="192" t="s">
        <v>232</v>
      </c>
      <c r="AP162" s="85">
        <v>6</v>
      </c>
      <c r="AQ162" s="186" t="s">
        <v>241</v>
      </c>
      <c r="AR162" s="120"/>
      <c r="AT162" s="44" t="s">
        <v>200</v>
      </c>
      <c r="AU162" s="45">
        <f>SUM(AL157:AL170)</f>
        <v>827.06500092329202</v>
      </c>
      <c r="AX162" s="44" t="s">
        <v>279</v>
      </c>
      <c r="AY162" s="73">
        <f>SUM(X157:X200)</f>
        <v>204.56666666666666</v>
      </c>
    </row>
    <row r="163" spans="1:51" ht="23.25">
      <c r="A163" s="121"/>
      <c r="B163" s="303"/>
      <c r="C163" s="85">
        <v>7</v>
      </c>
      <c r="D163" s="85" t="s">
        <v>504</v>
      </c>
      <c r="E163" s="151"/>
      <c r="F163" s="85">
        <v>0</v>
      </c>
      <c r="G163" s="85">
        <v>0</v>
      </c>
      <c r="H163" s="85">
        <v>0</v>
      </c>
      <c r="I163" s="85">
        <v>0</v>
      </c>
      <c r="J163" s="85">
        <v>0</v>
      </c>
      <c r="K163" s="85">
        <v>0</v>
      </c>
      <c r="L163" s="85">
        <v>0</v>
      </c>
      <c r="M163" s="85">
        <v>0</v>
      </c>
      <c r="N163" s="85">
        <v>0</v>
      </c>
      <c r="O163" s="85">
        <v>0</v>
      </c>
      <c r="P163" s="85">
        <v>0</v>
      </c>
      <c r="Q163" s="85">
        <v>0</v>
      </c>
      <c r="R163" s="85">
        <v>0</v>
      </c>
      <c r="S163" s="85">
        <v>0</v>
      </c>
      <c r="T163" s="85">
        <f t="shared" ref="T163:T200" si="75">SUM(H163:S163)*F163</f>
        <v>0</v>
      </c>
      <c r="U163" s="89"/>
      <c r="V163" s="89">
        <f t="shared" si="59"/>
        <v>0</v>
      </c>
      <c r="W163" s="89">
        <f t="shared" si="71"/>
        <v>0</v>
      </c>
      <c r="X163" s="89">
        <f t="shared" si="57"/>
        <v>0</v>
      </c>
      <c r="Y163" s="89">
        <f t="shared" si="67"/>
        <v>0</v>
      </c>
      <c r="Z163" s="89">
        <f t="shared" si="72"/>
        <v>0</v>
      </c>
      <c r="AA163" s="89">
        <f t="shared" si="60"/>
        <v>0</v>
      </c>
      <c r="AB163" s="89">
        <f t="shared" si="73"/>
        <v>0</v>
      </c>
      <c r="AC163" s="89">
        <f t="shared" si="61"/>
        <v>0</v>
      </c>
      <c r="AD163" s="89">
        <f t="shared" si="62"/>
        <v>0</v>
      </c>
      <c r="AE163" s="89">
        <f t="shared" si="63"/>
        <v>0</v>
      </c>
      <c r="AF163" s="89">
        <f t="shared" si="64"/>
        <v>0</v>
      </c>
      <c r="AG163" s="89">
        <f t="shared" si="65"/>
        <v>0</v>
      </c>
      <c r="AH163" s="89">
        <f t="shared" si="66"/>
        <v>0</v>
      </c>
      <c r="AI163" s="89">
        <v>0</v>
      </c>
      <c r="AJ163" s="89"/>
      <c r="AK163" s="89">
        <v>0</v>
      </c>
      <c r="AL163" s="153">
        <f t="shared" si="74"/>
        <v>0</v>
      </c>
      <c r="AM163" s="311"/>
      <c r="AN163" s="170"/>
      <c r="AO163" s="192" t="s">
        <v>246</v>
      </c>
      <c r="AP163" s="85">
        <f>AP172</f>
        <v>20.256410256410255</v>
      </c>
      <c r="AQ163" s="186" t="s">
        <v>233</v>
      </c>
      <c r="AR163" s="120"/>
      <c r="AT163" s="44" t="s">
        <v>201</v>
      </c>
      <c r="AU163" s="45">
        <f>SUM(AL171:AL179)</f>
        <v>1025.970164382383</v>
      </c>
      <c r="AX163" s="44" t="s">
        <v>122</v>
      </c>
      <c r="AY163" s="73">
        <f>SUM(Y157:Y200)</f>
        <v>288.72187500000007</v>
      </c>
    </row>
    <row r="164" spans="1:51" ht="23.25">
      <c r="A164" s="121"/>
      <c r="B164" s="303"/>
      <c r="C164" s="85">
        <v>8</v>
      </c>
      <c r="D164" s="85" t="s">
        <v>468</v>
      </c>
      <c r="E164" s="151" t="s">
        <v>52</v>
      </c>
      <c r="F164" s="85">
        <f>IF(AP168="no", 0, 1)</f>
        <v>0</v>
      </c>
      <c r="G164" s="85">
        <v>0</v>
      </c>
      <c r="H164" s="85">
        <v>0</v>
      </c>
      <c r="I164" s="85">
        <v>0</v>
      </c>
      <c r="J164" s="85">
        <v>30</v>
      </c>
      <c r="K164" s="85">
        <v>0</v>
      </c>
      <c r="L164" s="85">
        <v>0</v>
      </c>
      <c r="M164" s="85">
        <v>0</v>
      </c>
      <c r="N164" s="85">
        <v>0</v>
      </c>
      <c r="O164" s="85">
        <v>0</v>
      </c>
      <c r="P164" s="85">
        <v>0</v>
      </c>
      <c r="Q164" s="85">
        <v>0</v>
      </c>
      <c r="R164" s="85">
        <v>0</v>
      </c>
      <c r="S164" s="85">
        <v>0</v>
      </c>
      <c r="T164" s="85">
        <f t="shared" si="75"/>
        <v>0</v>
      </c>
      <c r="U164" s="89"/>
      <c r="V164" s="89">
        <f t="shared" si="59"/>
        <v>0</v>
      </c>
      <c r="W164" s="89">
        <f t="shared" si="71"/>
        <v>0</v>
      </c>
      <c r="X164" s="89">
        <f t="shared" si="57"/>
        <v>0</v>
      </c>
      <c r="Y164" s="89">
        <f t="shared" si="67"/>
        <v>0</v>
      </c>
      <c r="Z164" s="89">
        <f t="shared" si="72"/>
        <v>0</v>
      </c>
      <c r="AA164" s="89">
        <f t="shared" si="60"/>
        <v>0</v>
      </c>
      <c r="AB164" s="89">
        <f t="shared" si="73"/>
        <v>0</v>
      </c>
      <c r="AC164" s="89">
        <f t="shared" si="61"/>
        <v>0</v>
      </c>
      <c r="AD164" s="89">
        <f t="shared" si="62"/>
        <v>0</v>
      </c>
      <c r="AE164" s="89">
        <f t="shared" si="63"/>
        <v>0</v>
      </c>
      <c r="AF164" s="89">
        <f t="shared" si="64"/>
        <v>0</v>
      </c>
      <c r="AG164" s="89">
        <f t="shared" si="65"/>
        <v>0</v>
      </c>
      <c r="AH164" s="89">
        <f t="shared" si="66"/>
        <v>0</v>
      </c>
      <c r="AI164" s="89">
        <v>0</v>
      </c>
      <c r="AJ164" s="89"/>
      <c r="AK164" s="89">
        <v>0</v>
      </c>
      <c r="AL164" s="153">
        <f t="shared" si="74"/>
        <v>0</v>
      </c>
      <c r="AM164" s="311"/>
      <c r="AN164" s="170"/>
      <c r="AO164" s="192" t="s">
        <v>247</v>
      </c>
      <c r="AP164" s="85">
        <f>AP173</f>
        <v>16.788235294117648</v>
      </c>
      <c r="AQ164" s="186" t="s">
        <v>233</v>
      </c>
      <c r="AR164" s="120"/>
      <c r="AT164" s="44" t="s">
        <v>223</v>
      </c>
      <c r="AU164" s="45">
        <f>SUM(AL180:AL193)</f>
        <v>632.06982139444312</v>
      </c>
      <c r="AX164" s="44" t="s">
        <v>207</v>
      </c>
      <c r="AY164" s="73">
        <f>SUM(Z157:Z200)</f>
        <v>91.060671377459698</v>
      </c>
    </row>
    <row r="165" spans="1:51" ht="23.25">
      <c r="A165" s="121"/>
      <c r="B165" s="303"/>
      <c r="C165" s="85">
        <v>9</v>
      </c>
      <c r="D165" s="85" t="s">
        <v>501</v>
      </c>
      <c r="E165" s="151"/>
      <c r="F165" s="85">
        <v>1</v>
      </c>
      <c r="G165" s="85">
        <v>0</v>
      </c>
      <c r="H165" s="85">
        <v>0</v>
      </c>
      <c r="I165" s="85">
        <v>0</v>
      </c>
      <c r="J165" s="85">
        <v>0</v>
      </c>
      <c r="K165" s="85">
        <v>0</v>
      </c>
      <c r="L165" s="85">
        <v>0</v>
      </c>
      <c r="M165" s="85">
        <v>0</v>
      </c>
      <c r="N165" s="85">
        <v>0</v>
      </c>
      <c r="O165" s="85">
        <v>0</v>
      </c>
      <c r="P165" s="85">
        <v>0</v>
      </c>
      <c r="Q165" s="85">
        <v>0</v>
      </c>
      <c r="R165" s="85">
        <v>0</v>
      </c>
      <c r="S165" s="85">
        <v>0</v>
      </c>
      <c r="T165" s="85">
        <f t="shared" si="75"/>
        <v>0</v>
      </c>
      <c r="U165" s="89"/>
      <c r="V165" s="89">
        <f t="shared" si="59"/>
        <v>0</v>
      </c>
      <c r="W165" s="89">
        <f t="shared" si="71"/>
        <v>0</v>
      </c>
      <c r="X165" s="89">
        <f t="shared" si="57"/>
        <v>0</v>
      </c>
      <c r="Y165" s="89">
        <f t="shared" si="67"/>
        <v>0</v>
      </c>
      <c r="Z165" s="89">
        <f t="shared" si="72"/>
        <v>0</v>
      </c>
      <c r="AA165" s="89">
        <f t="shared" si="60"/>
        <v>0</v>
      </c>
      <c r="AB165" s="89">
        <f t="shared" si="73"/>
        <v>0</v>
      </c>
      <c r="AC165" s="89">
        <f t="shared" si="61"/>
        <v>0</v>
      </c>
      <c r="AD165" s="89">
        <f t="shared" si="62"/>
        <v>0</v>
      </c>
      <c r="AE165" s="89">
        <f t="shared" si="63"/>
        <v>0</v>
      </c>
      <c r="AF165" s="89">
        <f t="shared" si="64"/>
        <v>0</v>
      </c>
      <c r="AG165" s="89">
        <f t="shared" si="65"/>
        <v>0</v>
      </c>
      <c r="AH165" s="89">
        <f t="shared" si="66"/>
        <v>0</v>
      </c>
      <c r="AI165" s="89">
        <v>0</v>
      </c>
      <c r="AJ165" s="89"/>
      <c r="AK165" s="89">
        <v>0</v>
      </c>
      <c r="AL165" s="153">
        <f t="shared" si="74"/>
        <v>0</v>
      </c>
      <c r="AM165" s="311"/>
      <c r="AN165" s="170"/>
      <c r="AO165" s="191" t="s">
        <v>238</v>
      </c>
      <c r="AP165" s="182">
        <v>5</v>
      </c>
      <c r="AQ165" s="185"/>
      <c r="AR165" s="120"/>
      <c r="AT165" s="44" t="s">
        <v>202</v>
      </c>
      <c r="AU165" s="45">
        <f>AL194</f>
        <v>293.98836278362671</v>
      </c>
      <c r="AX165" s="44" t="s">
        <v>123</v>
      </c>
      <c r="AY165" s="73">
        <f>SUM(AA157:AA200)</f>
        <v>0</v>
      </c>
    </row>
    <row r="166" spans="1:51" ht="23.25">
      <c r="A166" s="121"/>
      <c r="B166" s="303"/>
      <c r="C166" s="85">
        <v>10</v>
      </c>
      <c r="D166" s="85" t="s">
        <v>502</v>
      </c>
      <c r="E166" s="151" t="s">
        <v>152</v>
      </c>
      <c r="F166" s="85">
        <v>1</v>
      </c>
      <c r="G166" s="85">
        <v>0</v>
      </c>
      <c r="H166" s="85">
        <v>0</v>
      </c>
      <c r="I166" s="85">
        <v>30</v>
      </c>
      <c r="J166" s="85">
        <v>30</v>
      </c>
      <c r="K166" s="85">
        <v>0</v>
      </c>
      <c r="L166" s="85">
        <v>0</v>
      </c>
      <c r="M166" s="85">
        <v>0</v>
      </c>
      <c r="N166" s="85">
        <v>0</v>
      </c>
      <c r="O166" s="85">
        <v>0</v>
      </c>
      <c r="P166" s="85">
        <v>0</v>
      </c>
      <c r="Q166" s="85">
        <v>0</v>
      </c>
      <c r="R166" s="85">
        <v>0</v>
      </c>
      <c r="S166" s="85">
        <v>0</v>
      </c>
      <c r="T166" s="85">
        <f t="shared" si="75"/>
        <v>60</v>
      </c>
      <c r="U166" s="89"/>
      <c r="V166" s="89">
        <f t="shared" si="59"/>
        <v>6.5257379574309189</v>
      </c>
      <c r="W166" s="89">
        <f t="shared" si="71"/>
        <v>0</v>
      </c>
      <c r="X166" s="89">
        <f t="shared" si="57"/>
        <v>32.299999999999997</v>
      </c>
      <c r="Y166" s="89">
        <f t="shared" si="67"/>
        <v>25.106250000000003</v>
      </c>
      <c r="Z166" s="89">
        <f t="shared" si="72"/>
        <v>12.417364278744502</v>
      </c>
      <c r="AA166" s="89">
        <f t="shared" si="60"/>
        <v>0</v>
      </c>
      <c r="AB166" s="89">
        <f t="shared" si="73"/>
        <v>0</v>
      </c>
      <c r="AC166" s="89">
        <f t="shared" si="61"/>
        <v>0</v>
      </c>
      <c r="AD166" s="89">
        <f t="shared" si="62"/>
        <v>0</v>
      </c>
      <c r="AE166" s="89">
        <f t="shared" si="63"/>
        <v>0</v>
      </c>
      <c r="AF166" s="89">
        <f t="shared" si="64"/>
        <v>0</v>
      </c>
      <c r="AG166" s="89">
        <f t="shared" si="65"/>
        <v>0</v>
      </c>
      <c r="AH166" s="89">
        <f t="shared" si="66"/>
        <v>0</v>
      </c>
      <c r="AI166" s="89">
        <v>0</v>
      </c>
      <c r="AJ166" s="89"/>
      <c r="AK166" s="89">
        <v>0</v>
      </c>
      <c r="AL166" s="153">
        <f t="shared" si="74"/>
        <v>76.34935223617542</v>
      </c>
      <c r="AM166" s="311"/>
      <c r="AN166" s="170"/>
      <c r="AO166" s="192" t="s">
        <v>164</v>
      </c>
      <c r="AP166" s="85" t="s">
        <v>18</v>
      </c>
      <c r="AQ166" s="186" t="s">
        <v>173</v>
      </c>
      <c r="AR166" s="120"/>
      <c r="AT166" s="44" t="s">
        <v>224</v>
      </c>
      <c r="AU166" s="45">
        <f>SUM(AL195:AL198)</f>
        <v>207.55321273071434</v>
      </c>
      <c r="AX166" s="44" t="s">
        <v>208</v>
      </c>
      <c r="AY166" s="73">
        <f>SUM(AB157:AB200)</f>
        <v>928.52423106548349</v>
      </c>
    </row>
    <row r="167" spans="1:51" ht="24" thickBot="1">
      <c r="A167" s="121"/>
      <c r="B167" s="303"/>
      <c r="C167" s="85">
        <v>11</v>
      </c>
      <c r="D167" s="85" t="s">
        <v>502</v>
      </c>
      <c r="E167" s="151" t="s">
        <v>152</v>
      </c>
      <c r="F167" s="85">
        <v>1</v>
      </c>
      <c r="G167" s="85">
        <v>0</v>
      </c>
      <c r="H167" s="85">
        <v>0</v>
      </c>
      <c r="I167" s="85">
        <v>30</v>
      </c>
      <c r="J167" s="85">
        <v>30</v>
      </c>
      <c r="K167" s="85">
        <v>0</v>
      </c>
      <c r="L167" s="85">
        <v>0</v>
      </c>
      <c r="M167" s="85">
        <v>0</v>
      </c>
      <c r="N167" s="85">
        <v>0</v>
      </c>
      <c r="O167" s="85">
        <v>0</v>
      </c>
      <c r="P167" s="85">
        <v>0</v>
      </c>
      <c r="Q167" s="85">
        <v>0</v>
      </c>
      <c r="R167" s="85">
        <v>0</v>
      </c>
      <c r="S167" s="85">
        <v>0</v>
      </c>
      <c r="T167" s="85">
        <f t="shared" si="75"/>
        <v>60</v>
      </c>
      <c r="U167" s="89"/>
      <c r="V167" s="89">
        <f t="shared" si="59"/>
        <v>6.5257379574309189</v>
      </c>
      <c r="W167" s="89">
        <f t="shared" si="71"/>
        <v>0</v>
      </c>
      <c r="X167" s="89">
        <f>I167*$X$3*F167</f>
        <v>32.299999999999997</v>
      </c>
      <c r="Y167" s="89">
        <f t="shared" si="67"/>
        <v>25.106250000000003</v>
      </c>
      <c r="Z167" s="89">
        <f>IF(ISNUMBER(SEARCH("CCR4", E167)),(T167-K167)*$Z$3, 0)</f>
        <v>12.417364278744502</v>
      </c>
      <c r="AA167" s="89">
        <f t="shared" si="60"/>
        <v>0</v>
      </c>
      <c r="AB167" s="89">
        <f t="shared" si="73"/>
        <v>0</v>
      </c>
      <c r="AC167" s="89">
        <f t="shared" si="61"/>
        <v>0</v>
      </c>
      <c r="AD167" s="89">
        <f t="shared" si="62"/>
        <v>0</v>
      </c>
      <c r="AE167" s="89">
        <f t="shared" si="63"/>
        <v>0</v>
      </c>
      <c r="AF167" s="89">
        <f t="shared" si="64"/>
        <v>0</v>
      </c>
      <c r="AG167" s="89">
        <f t="shared" si="65"/>
        <v>0</v>
      </c>
      <c r="AH167" s="89">
        <f t="shared" si="66"/>
        <v>0</v>
      </c>
      <c r="AI167" s="89">
        <v>0</v>
      </c>
      <c r="AJ167" s="89"/>
      <c r="AK167" s="89">
        <v>0</v>
      </c>
      <c r="AL167" s="153">
        <f>SUM(V167:AK167)</f>
        <v>76.34935223617542</v>
      </c>
      <c r="AM167" s="311"/>
      <c r="AN167" s="170"/>
      <c r="AO167" s="192" t="s">
        <v>165</v>
      </c>
      <c r="AP167" s="85" t="s">
        <v>18</v>
      </c>
      <c r="AQ167" s="186" t="s">
        <v>173</v>
      </c>
      <c r="AR167" s="120"/>
      <c r="AT167" s="44" t="s">
        <v>203</v>
      </c>
      <c r="AU167" s="50">
        <f>SUM(AL199:AL200)</f>
        <v>174.84465335426313</v>
      </c>
      <c r="AX167" s="44" t="s">
        <v>209</v>
      </c>
      <c r="AY167" s="73">
        <f>SUM(AC157:AC200)</f>
        <v>156.27351598591781</v>
      </c>
    </row>
    <row r="168" spans="1:51" ht="24" thickTop="1">
      <c r="A168" s="121"/>
      <c r="B168" s="303"/>
      <c r="C168" s="85">
        <v>12</v>
      </c>
      <c r="D168" s="85" t="s">
        <v>503</v>
      </c>
      <c r="E168" s="151" t="s">
        <v>52</v>
      </c>
      <c r="F168" s="85">
        <f>AP161</f>
        <v>1</v>
      </c>
      <c r="G168" s="85">
        <v>0</v>
      </c>
      <c r="H168" s="85">
        <v>0</v>
      </c>
      <c r="I168" s="85">
        <v>0</v>
      </c>
      <c r="J168" s="85">
        <v>5</v>
      </c>
      <c r="K168" s="85">
        <v>0</v>
      </c>
      <c r="L168" s="85">
        <v>0</v>
      </c>
      <c r="M168" s="85">
        <v>0</v>
      </c>
      <c r="N168" s="85">
        <v>0</v>
      </c>
      <c r="O168" s="85">
        <v>0</v>
      </c>
      <c r="P168" s="85">
        <v>0</v>
      </c>
      <c r="Q168" s="85">
        <v>0</v>
      </c>
      <c r="R168" s="85">
        <v>0</v>
      </c>
      <c r="S168" s="85">
        <v>0</v>
      </c>
      <c r="T168" s="85">
        <f t="shared" si="75"/>
        <v>5</v>
      </c>
      <c r="U168" s="89"/>
      <c r="V168" s="89">
        <f t="shared" si="59"/>
        <v>0.54381149645257654</v>
      </c>
      <c r="W168" s="89">
        <f t="shared" si="71"/>
        <v>0</v>
      </c>
      <c r="X168" s="89">
        <f t="shared" ref="X168:X200" si="76">I168*$X$3*F168</f>
        <v>0</v>
      </c>
      <c r="Y168" s="89">
        <f t="shared" si="67"/>
        <v>4.1843750000000011</v>
      </c>
      <c r="Z168" s="89">
        <f t="shared" si="72"/>
        <v>0</v>
      </c>
      <c r="AA168" s="89">
        <f t="shared" si="60"/>
        <v>0</v>
      </c>
      <c r="AB168" s="89">
        <f t="shared" si="73"/>
        <v>0</v>
      </c>
      <c r="AC168" s="89">
        <f t="shared" si="61"/>
        <v>0</v>
      </c>
      <c r="AD168" s="89">
        <f t="shared" si="62"/>
        <v>0</v>
      </c>
      <c r="AE168" s="89">
        <f t="shared" si="63"/>
        <v>0</v>
      </c>
      <c r="AF168" s="89">
        <f t="shared" si="64"/>
        <v>0</v>
      </c>
      <c r="AG168" s="89">
        <f t="shared" si="65"/>
        <v>0</v>
      </c>
      <c r="AH168" s="89">
        <f t="shared" si="66"/>
        <v>0</v>
      </c>
      <c r="AI168" s="89">
        <v>0</v>
      </c>
      <c r="AJ168" s="89"/>
      <c r="AK168" s="89">
        <f>inputs!$E$37*$F$168</f>
        <v>26.86</v>
      </c>
      <c r="AL168" s="153">
        <f t="shared" ref="AL168:AL198" si="77">SUM(V168:AK168)*F168</f>
        <v>31.588186496452579</v>
      </c>
      <c r="AM168" s="311"/>
      <c r="AN168" s="170"/>
      <c r="AO168" s="192" t="s">
        <v>172</v>
      </c>
      <c r="AP168" s="85" t="s">
        <v>18</v>
      </c>
      <c r="AQ168" s="186" t="s">
        <v>57</v>
      </c>
      <c r="AR168" s="120"/>
      <c r="AT168" s="47" t="s">
        <v>204</v>
      </c>
      <c r="AU168" s="37">
        <f>SUM(AU161:AU167)</f>
        <v>3161.4912155687225</v>
      </c>
      <c r="AX168" s="44" t="s">
        <v>191</v>
      </c>
      <c r="AY168" s="73">
        <f>SUM(AD157:AD200)</f>
        <v>424.18234313810706</v>
      </c>
    </row>
    <row r="169" spans="1:51" ht="23.25">
      <c r="A169" s="121"/>
      <c r="B169" s="303"/>
      <c r="C169" s="85">
        <v>13</v>
      </c>
      <c r="D169" s="85" t="s">
        <v>505</v>
      </c>
      <c r="E169" s="151" t="s">
        <v>152</v>
      </c>
      <c r="F169" s="85">
        <f>IF(AP167="yes", 1, 0)</f>
        <v>0</v>
      </c>
      <c r="G169" s="85">
        <v>0</v>
      </c>
      <c r="H169" s="85">
        <v>30</v>
      </c>
      <c r="I169" s="85">
        <v>0</v>
      </c>
      <c r="J169" s="85">
        <v>0</v>
      </c>
      <c r="K169" s="85">
        <v>0</v>
      </c>
      <c r="L169" s="85">
        <v>0</v>
      </c>
      <c r="M169" s="85">
        <v>0</v>
      </c>
      <c r="N169" s="85">
        <v>0</v>
      </c>
      <c r="O169" s="85">
        <v>0</v>
      </c>
      <c r="P169" s="85">
        <v>0</v>
      </c>
      <c r="Q169" s="85">
        <v>0</v>
      </c>
      <c r="R169" s="85">
        <v>0</v>
      </c>
      <c r="S169" s="85">
        <v>0</v>
      </c>
      <c r="T169" s="85">
        <f t="shared" si="75"/>
        <v>0</v>
      </c>
      <c r="U169" s="89"/>
      <c r="V169" s="89">
        <f t="shared" si="59"/>
        <v>0</v>
      </c>
      <c r="W169" s="89">
        <f t="shared" si="71"/>
        <v>0</v>
      </c>
      <c r="X169" s="89">
        <f t="shared" si="76"/>
        <v>0</v>
      </c>
      <c r="Y169" s="89">
        <f t="shared" si="67"/>
        <v>0</v>
      </c>
      <c r="Z169" s="89">
        <f t="shared" si="72"/>
        <v>0</v>
      </c>
      <c r="AA169" s="89">
        <f t="shared" si="60"/>
        <v>0</v>
      </c>
      <c r="AB169" s="89">
        <f t="shared" si="73"/>
        <v>0</v>
      </c>
      <c r="AC169" s="89">
        <f t="shared" si="61"/>
        <v>0</v>
      </c>
      <c r="AD169" s="89">
        <f t="shared" si="62"/>
        <v>0</v>
      </c>
      <c r="AE169" s="89">
        <f t="shared" si="63"/>
        <v>0</v>
      </c>
      <c r="AF169" s="89">
        <f t="shared" si="64"/>
        <v>0</v>
      </c>
      <c r="AG169" s="89">
        <f t="shared" si="65"/>
        <v>0</v>
      </c>
      <c r="AH169" s="89">
        <f t="shared" si="66"/>
        <v>0</v>
      </c>
      <c r="AI169" s="89">
        <v>0</v>
      </c>
      <c r="AJ169" s="89"/>
      <c r="AK169" s="89">
        <v>0</v>
      </c>
      <c r="AL169" s="153">
        <f t="shared" si="77"/>
        <v>0</v>
      </c>
      <c r="AM169" s="311"/>
      <c r="AN169" s="170"/>
      <c r="AO169" s="192" t="s">
        <v>176</v>
      </c>
      <c r="AP169" s="85" t="s">
        <v>213</v>
      </c>
      <c r="AQ169" s="186" t="s">
        <v>175</v>
      </c>
      <c r="AR169" s="120"/>
      <c r="AX169" s="44" t="s">
        <v>192</v>
      </c>
      <c r="AY169" s="73">
        <f>SUM(AE157:AE200)</f>
        <v>180.26579977536608</v>
      </c>
    </row>
    <row r="170" spans="1:51" ht="23.25">
      <c r="A170" s="121"/>
      <c r="B170" s="303"/>
      <c r="C170" s="85">
        <v>14</v>
      </c>
      <c r="D170" s="85" t="s">
        <v>506</v>
      </c>
      <c r="E170" s="151"/>
      <c r="F170" s="85">
        <f>1</f>
        <v>1</v>
      </c>
      <c r="G170" s="85">
        <v>0</v>
      </c>
      <c r="H170" s="85">
        <v>0</v>
      </c>
      <c r="I170" s="85">
        <v>0</v>
      </c>
      <c r="J170" s="85">
        <v>0</v>
      </c>
      <c r="K170" s="85">
        <v>0</v>
      </c>
      <c r="L170" s="85">
        <v>0</v>
      </c>
      <c r="M170" s="85">
        <v>0</v>
      </c>
      <c r="N170" s="85">
        <v>0</v>
      </c>
      <c r="O170" s="85">
        <v>0</v>
      </c>
      <c r="P170" s="85">
        <v>0</v>
      </c>
      <c r="Q170" s="85">
        <v>0</v>
      </c>
      <c r="R170" s="85">
        <v>0</v>
      </c>
      <c r="S170" s="85">
        <v>0</v>
      </c>
      <c r="T170" s="85">
        <f t="shared" si="75"/>
        <v>0</v>
      </c>
      <c r="U170" s="89"/>
      <c r="V170" s="89">
        <f t="shared" si="59"/>
        <v>0</v>
      </c>
      <c r="W170" s="89">
        <f t="shared" si="71"/>
        <v>0</v>
      </c>
      <c r="X170" s="89">
        <f t="shared" si="76"/>
        <v>0</v>
      </c>
      <c r="Y170" s="89">
        <f t="shared" si="67"/>
        <v>0</v>
      </c>
      <c r="Z170" s="89">
        <f t="shared" si="72"/>
        <v>0</v>
      </c>
      <c r="AA170" s="89">
        <f t="shared" si="60"/>
        <v>0</v>
      </c>
      <c r="AB170" s="89">
        <f t="shared" si="73"/>
        <v>0</v>
      </c>
      <c r="AC170" s="89">
        <f t="shared" si="61"/>
        <v>0</v>
      </c>
      <c r="AD170" s="89">
        <f t="shared" si="62"/>
        <v>0</v>
      </c>
      <c r="AE170" s="89">
        <f t="shared" si="63"/>
        <v>0</v>
      </c>
      <c r="AF170" s="89">
        <f t="shared" si="64"/>
        <v>0</v>
      </c>
      <c r="AG170" s="89">
        <f t="shared" si="65"/>
        <v>0</v>
      </c>
      <c r="AH170" s="89">
        <f t="shared" si="66"/>
        <v>0</v>
      </c>
      <c r="AI170" s="89">
        <v>0</v>
      </c>
      <c r="AJ170" s="89">
        <f>inputs!$E$30*F170</f>
        <v>18.22</v>
      </c>
      <c r="AK170" s="89">
        <v>0</v>
      </c>
      <c r="AL170" s="153">
        <f t="shared" si="77"/>
        <v>18.22</v>
      </c>
      <c r="AM170" s="311"/>
      <c r="AN170" s="170"/>
      <c r="AO170" s="192" t="s">
        <v>240</v>
      </c>
      <c r="AP170" s="85">
        <f>AP175</f>
        <v>6.4423076923076925</v>
      </c>
      <c r="AQ170" s="186" t="s">
        <v>82</v>
      </c>
      <c r="AR170" s="120"/>
      <c r="AX170" s="44" t="s">
        <v>193</v>
      </c>
      <c r="AY170" s="73">
        <f>SUM(AF157:AF200)</f>
        <v>40.339411050505049</v>
      </c>
    </row>
    <row r="171" spans="1:51" ht="25.5" customHeight="1">
      <c r="A171" s="121"/>
      <c r="B171" s="303"/>
      <c r="C171" s="85">
        <v>15</v>
      </c>
      <c r="D171" s="85" t="s">
        <v>507</v>
      </c>
      <c r="E171" s="151" t="s">
        <v>156</v>
      </c>
      <c r="F171" s="85">
        <f>IF($AP$86="failed", 0, 1)</f>
        <v>1</v>
      </c>
      <c r="G171" s="85">
        <v>0</v>
      </c>
      <c r="H171" s="85">
        <v>0</v>
      </c>
      <c r="I171" s="85">
        <v>0</v>
      </c>
      <c r="J171" s="85">
        <v>0</v>
      </c>
      <c r="K171" s="85">
        <v>5</v>
      </c>
      <c r="L171" s="85">
        <v>0</v>
      </c>
      <c r="M171" s="85">
        <v>0</v>
      </c>
      <c r="N171" s="85">
        <v>0</v>
      </c>
      <c r="O171" s="85">
        <v>0</v>
      </c>
      <c r="P171" s="85">
        <v>0</v>
      </c>
      <c r="Q171" s="85">
        <v>0</v>
      </c>
      <c r="R171" s="85">
        <v>0</v>
      </c>
      <c r="S171" s="85">
        <v>0</v>
      </c>
      <c r="T171" s="85">
        <f t="shared" si="75"/>
        <v>5</v>
      </c>
      <c r="U171" s="89"/>
      <c r="V171" s="89">
        <f t="shared" si="59"/>
        <v>0.54381149645257654</v>
      </c>
      <c r="W171" s="89">
        <f t="shared" si="71"/>
        <v>0</v>
      </c>
      <c r="X171" s="89">
        <f t="shared" si="76"/>
        <v>0</v>
      </c>
      <c r="Y171" s="89">
        <f t="shared" si="67"/>
        <v>0</v>
      </c>
      <c r="Z171" s="89">
        <f t="shared" si="72"/>
        <v>0</v>
      </c>
      <c r="AA171" s="89">
        <f t="shared" si="60"/>
        <v>0</v>
      </c>
      <c r="AB171" s="89">
        <f t="shared" si="73"/>
        <v>10.435305059523809</v>
      </c>
      <c r="AC171" s="89">
        <f t="shared" si="61"/>
        <v>0</v>
      </c>
      <c r="AD171" s="89">
        <f>(IF(ISNUMBER(SEARCH("CCR8", E171)),K171*$AD$3, 0))*F171</f>
        <v>9.2263814520508731</v>
      </c>
      <c r="AE171" s="89">
        <f t="shared" si="63"/>
        <v>0</v>
      </c>
      <c r="AF171" s="89">
        <f t="shared" si="64"/>
        <v>0</v>
      </c>
      <c r="AG171" s="89">
        <f t="shared" si="65"/>
        <v>0</v>
      </c>
      <c r="AH171" s="89">
        <f t="shared" si="66"/>
        <v>0</v>
      </c>
      <c r="AI171" s="89">
        <f>inputs!E135</f>
        <v>0</v>
      </c>
      <c r="AJ171" s="89"/>
      <c r="AK171" s="89">
        <v>0</v>
      </c>
      <c r="AL171" s="154">
        <f t="shared" si="77"/>
        <v>20.205498008027259</v>
      </c>
      <c r="AM171" s="312" t="s">
        <v>367</v>
      </c>
      <c r="AN171" s="170"/>
      <c r="AO171" s="126"/>
      <c r="AP171" s="3"/>
      <c r="AQ171" s="187"/>
      <c r="AR171" s="120"/>
      <c r="AX171" s="44" t="s">
        <v>146</v>
      </c>
      <c r="AY171" s="73">
        <f>SUM(AG157:AG200)</f>
        <v>0</v>
      </c>
    </row>
    <row r="172" spans="1:51" ht="24" thickBot="1">
      <c r="A172" s="121"/>
      <c r="B172" s="303"/>
      <c r="C172" s="85">
        <v>16</v>
      </c>
      <c r="D172" s="85" t="s">
        <v>508</v>
      </c>
      <c r="E172" s="151" t="s">
        <v>148</v>
      </c>
      <c r="F172" s="85">
        <f>IF($AP$86="failed", 0, 1)</f>
        <v>1</v>
      </c>
      <c r="G172" s="85">
        <v>0</v>
      </c>
      <c r="H172" s="85">
        <v>0</v>
      </c>
      <c r="I172" s="85">
        <v>0</v>
      </c>
      <c r="J172" s="85">
        <v>0</v>
      </c>
      <c r="K172" s="85">
        <v>6.1</v>
      </c>
      <c r="L172" s="85">
        <v>0</v>
      </c>
      <c r="M172" s="85">
        <v>0</v>
      </c>
      <c r="N172" s="85">
        <v>0</v>
      </c>
      <c r="O172" s="85">
        <v>0</v>
      </c>
      <c r="P172" s="85">
        <v>0</v>
      </c>
      <c r="Q172" s="85">
        <v>0</v>
      </c>
      <c r="R172" s="85">
        <v>0</v>
      </c>
      <c r="S172" s="85">
        <v>0</v>
      </c>
      <c r="T172" s="85">
        <f t="shared" si="75"/>
        <v>6.1</v>
      </c>
      <c r="U172" s="89"/>
      <c r="V172" s="89">
        <f t="shared" si="59"/>
        <v>0.6634500256721434</v>
      </c>
      <c r="W172" s="89">
        <f t="shared" si="71"/>
        <v>0</v>
      </c>
      <c r="X172" s="89">
        <f t="shared" si="76"/>
        <v>0</v>
      </c>
      <c r="Y172" s="89">
        <f t="shared" si="67"/>
        <v>0</v>
      </c>
      <c r="Z172" s="89">
        <f t="shared" si="72"/>
        <v>0</v>
      </c>
      <c r="AA172" s="89">
        <f t="shared" si="60"/>
        <v>0</v>
      </c>
      <c r="AB172" s="89">
        <f t="shared" si="73"/>
        <v>12.731072172619047</v>
      </c>
      <c r="AC172" s="89">
        <f t="shared" si="61"/>
        <v>2.7224430964131034</v>
      </c>
      <c r="AD172" s="89">
        <f t="shared" si="62"/>
        <v>0</v>
      </c>
      <c r="AE172" s="89">
        <f t="shared" si="63"/>
        <v>0</v>
      </c>
      <c r="AF172" s="89">
        <f t="shared" si="64"/>
        <v>0</v>
      </c>
      <c r="AG172" s="89">
        <f t="shared" si="65"/>
        <v>0</v>
      </c>
      <c r="AH172" s="89">
        <f t="shared" si="66"/>
        <v>0</v>
      </c>
      <c r="AI172" s="89">
        <v>0</v>
      </c>
      <c r="AJ172" s="89"/>
      <c r="AK172" s="89">
        <v>0</v>
      </c>
      <c r="AL172" s="154">
        <f t="shared" si="77"/>
        <v>16.116965294704293</v>
      </c>
      <c r="AM172" s="312"/>
      <c r="AN172" s="170"/>
      <c r="AO172" s="192" t="s">
        <v>259</v>
      </c>
      <c r="AP172" s="85">
        <v>20.256410256410255</v>
      </c>
      <c r="AQ172" s="187"/>
      <c r="AR172" s="120"/>
      <c r="AX172" s="44" t="s">
        <v>285</v>
      </c>
      <c r="AY172" s="50">
        <f>SUM(AH157:AH200)</f>
        <v>0</v>
      </c>
    </row>
    <row r="173" spans="1:51" ht="24" thickTop="1">
      <c r="A173" s="121"/>
      <c r="B173" s="303"/>
      <c r="C173" s="85">
        <v>17</v>
      </c>
      <c r="D173" s="85" t="s">
        <v>509</v>
      </c>
      <c r="E173" s="151" t="s">
        <v>153</v>
      </c>
      <c r="F173" s="85">
        <f>IF($AP$89="ICSI", 0, 1)</f>
        <v>1</v>
      </c>
      <c r="G173" s="85">
        <v>0</v>
      </c>
      <c r="H173" s="85">
        <v>0</v>
      </c>
      <c r="I173" s="85">
        <v>0</v>
      </c>
      <c r="J173" s="85">
        <v>0</v>
      </c>
      <c r="K173" s="85">
        <f>AP177*AP163/2</f>
        <v>48.007692307692309</v>
      </c>
      <c r="L173" s="85">
        <v>0</v>
      </c>
      <c r="M173" s="85">
        <v>0</v>
      </c>
      <c r="N173" s="85">
        <v>0</v>
      </c>
      <c r="O173" s="85">
        <v>0</v>
      </c>
      <c r="P173" s="85">
        <v>0</v>
      </c>
      <c r="Q173" s="85">
        <v>0</v>
      </c>
      <c r="R173" s="85">
        <v>0</v>
      </c>
      <c r="S173" s="85">
        <v>0</v>
      </c>
      <c r="T173" s="85">
        <f t="shared" si="75"/>
        <v>48.007692307692309</v>
      </c>
      <c r="U173" s="89"/>
      <c r="V173" s="89">
        <f t="shared" si="59"/>
        <v>5.2214269990162006</v>
      </c>
      <c r="W173" s="89">
        <f t="shared" si="71"/>
        <v>0</v>
      </c>
      <c r="X173" s="89">
        <f t="shared" si="76"/>
        <v>0</v>
      </c>
      <c r="Y173" s="89">
        <f t="shared" si="67"/>
        <v>0</v>
      </c>
      <c r="Z173" s="89">
        <f t="shared" si="72"/>
        <v>0</v>
      </c>
      <c r="AA173" s="89">
        <f t="shared" si="60"/>
        <v>0</v>
      </c>
      <c r="AB173" s="89">
        <f t="shared" si="73"/>
        <v>100.19498288690477</v>
      </c>
      <c r="AC173" s="89">
        <f t="shared" si="61"/>
        <v>21.425936147180558</v>
      </c>
      <c r="AD173" s="89">
        <f t="shared" si="62"/>
        <v>88.587456372691534</v>
      </c>
      <c r="AE173" s="89">
        <f t="shared" si="63"/>
        <v>0</v>
      </c>
      <c r="AF173" s="89">
        <f t="shared" si="64"/>
        <v>0</v>
      </c>
      <c r="AG173" s="89">
        <f t="shared" si="65"/>
        <v>0</v>
      </c>
      <c r="AH173" s="89">
        <f t="shared" si="66"/>
        <v>0</v>
      </c>
      <c r="AI173" s="89">
        <v>0</v>
      </c>
      <c r="AJ173" s="89"/>
      <c r="AK173" s="89">
        <v>0</v>
      </c>
      <c r="AL173" s="154">
        <f t="shared" si="77"/>
        <v>215.42980240579305</v>
      </c>
      <c r="AM173" s="312"/>
      <c r="AN173" s="170" t="s">
        <v>174</v>
      </c>
      <c r="AO173" s="192" t="s">
        <v>260</v>
      </c>
      <c r="AP173" s="85">
        <f>AP133+AP91</f>
        <v>16.788235294117648</v>
      </c>
      <c r="AQ173" s="187"/>
      <c r="AR173" s="120"/>
      <c r="AX173" s="74"/>
      <c r="AY173" s="75">
        <f>SUM(AY157:AY172)</f>
        <v>3161.4912155687225</v>
      </c>
    </row>
    <row r="174" spans="1:51" ht="23.25">
      <c r="A174" s="121"/>
      <c r="B174" s="303"/>
      <c r="C174" s="85">
        <v>18</v>
      </c>
      <c r="D174" s="85" t="s">
        <v>534</v>
      </c>
      <c r="E174" s="151" t="s">
        <v>154</v>
      </c>
      <c r="F174" s="85">
        <f>IF($AP$89="IVF", 0, 1)</f>
        <v>1</v>
      </c>
      <c r="G174" s="85">
        <v>0</v>
      </c>
      <c r="H174" s="85">
        <v>0</v>
      </c>
      <c r="I174" s="85">
        <v>0</v>
      </c>
      <c r="J174" s="85">
        <v>0</v>
      </c>
      <c r="K174" s="85">
        <f>AP163/2*AP181</f>
        <v>29.27051282051282</v>
      </c>
      <c r="L174" s="85">
        <v>0</v>
      </c>
      <c r="M174" s="85">
        <v>0</v>
      </c>
      <c r="N174" s="85">
        <v>0</v>
      </c>
      <c r="O174" s="85">
        <v>0</v>
      </c>
      <c r="P174" s="85">
        <v>0</v>
      </c>
      <c r="Q174" s="85">
        <v>0</v>
      </c>
      <c r="R174" s="85">
        <v>0</v>
      </c>
      <c r="S174" s="85">
        <v>0</v>
      </c>
      <c r="T174" s="85">
        <f t="shared" si="75"/>
        <v>29.27051282051282</v>
      </c>
      <c r="U174" s="89"/>
      <c r="V174" s="89">
        <f t="shared" si="59"/>
        <v>3.1835282757714811</v>
      </c>
      <c r="W174" s="89">
        <f t="shared" si="71"/>
        <v>0</v>
      </c>
      <c r="X174" s="89">
        <f t="shared" si="76"/>
        <v>0</v>
      </c>
      <c r="Y174" s="89">
        <f t="shared" si="67"/>
        <v>0</v>
      </c>
      <c r="Z174" s="89">
        <f t="shared" si="72"/>
        <v>0</v>
      </c>
      <c r="AA174" s="89">
        <f t="shared" si="60"/>
        <v>0</v>
      </c>
      <c r="AB174" s="89">
        <f t="shared" si="73"/>
        <v>61.089346106150792</v>
      </c>
      <c r="AC174" s="89">
        <f t="shared" si="61"/>
        <v>13.063492714209241</v>
      </c>
      <c r="AD174" s="89">
        <f t="shared" si="62"/>
        <v>54.012183315839351</v>
      </c>
      <c r="AE174" s="89">
        <f t="shared" si="63"/>
        <v>35.272566739607619</v>
      </c>
      <c r="AF174" s="89">
        <f t="shared" si="64"/>
        <v>0</v>
      </c>
      <c r="AG174" s="89">
        <f t="shared" si="65"/>
        <v>0</v>
      </c>
      <c r="AH174" s="89">
        <f t="shared" si="66"/>
        <v>0</v>
      </c>
      <c r="AI174" s="89">
        <f>(IF($AP$122&gt;16,inputs!E136*2, inputs!E136))*F174</f>
        <v>0</v>
      </c>
      <c r="AJ174" s="89"/>
      <c r="AK174" s="89">
        <v>0</v>
      </c>
      <c r="AL174" s="154">
        <f t="shared" si="77"/>
        <v>166.62111715157849</v>
      </c>
      <c r="AM174" s="312"/>
      <c r="AN174" s="170"/>
      <c r="AO174" s="192" t="s">
        <v>262</v>
      </c>
      <c r="AP174" s="85">
        <v>10.588235294117647</v>
      </c>
      <c r="AQ174" s="187"/>
      <c r="AR174" s="120"/>
    </row>
    <row r="175" spans="1:51" ht="23.25">
      <c r="A175" s="121"/>
      <c r="B175" s="303"/>
      <c r="C175" s="85">
        <v>19</v>
      </c>
      <c r="D175" s="85" t="s">
        <v>510</v>
      </c>
      <c r="E175" s="151" t="s">
        <v>148</v>
      </c>
      <c r="F175" s="85">
        <v>1</v>
      </c>
      <c r="G175" s="85">
        <v>0</v>
      </c>
      <c r="H175" s="85">
        <v>0</v>
      </c>
      <c r="I175" s="85">
        <v>0</v>
      </c>
      <c r="J175" s="85">
        <v>0</v>
      </c>
      <c r="K175" s="85">
        <v>47</v>
      </c>
      <c r="L175" s="85">
        <v>0</v>
      </c>
      <c r="M175" s="85">
        <v>0</v>
      </c>
      <c r="N175" s="85">
        <v>0</v>
      </c>
      <c r="O175" s="85">
        <v>0</v>
      </c>
      <c r="P175" s="85">
        <v>0</v>
      </c>
      <c r="Q175" s="85">
        <v>0</v>
      </c>
      <c r="R175" s="85">
        <v>0</v>
      </c>
      <c r="S175" s="85">
        <v>0</v>
      </c>
      <c r="T175" s="85">
        <f t="shared" si="75"/>
        <v>47</v>
      </c>
      <c r="U175" s="89"/>
      <c r="V175" s="89">
        <f t="shared" si="59"/>
        <v>5.11182806665422</v>
      </c>
      <c r="W175" s="89">
        <f t="shared" si="71"/>
        <v>0</v>
      </c>
      <c r="X175" s="89">
        <f t="shared" si="76"/>
        <v>0</v>
      </c>
      <c r="Y175" s="89">
        <f t="shared" si="67"/>
        <v>0</v>
      </c>
      <c r="Z175" s="89">
        <f t="shared" si="72"/>
        <v>0</v>
      </c>
      <c r="AA175" s="89">
        <f t="shared" si="60"/>
        <v>0</v>
      </c>
      <c r="AB175" s="89">
        <f t="shared" si="73"/>
        <v>98.091867559523806</v>
      </c>
      <c r="AC175" s="89">
        <f t="shared" si="61"/>
        <v>20.976200906789487</v>
      </c>
      <c r="AD175" s="89">
        <f t="shared" si="62"/>
        <v>0</v>
      </c>
      <c r="AE175" s="89">
        <f t="shared" si="63"/>
        <v>0</v>
      </c>
      <c r="AF175" s="89">
        <f t="shared" si="64"/>
        <v>0</v>
      </c>
      <c r="AG175" s="89">
        <f t="shared" si="65"/>
        <v>0</v>
      </c>
      <c r="AH175" s="89">
        <f t="shared" si="66"/>
        <v>0</v>
      </c>
      <c r="AI175" s="89">
        <v>0</v>
      </c>
      <c r="AJ175" s="89"/>
      <c r="AK175" s="89">
        <v>0</v>
      </c>
      <c r="AL175" s="154">
        <f t="shared" si="77"/>
        <v>124.17989653296752</v>
      </c>
      <c r="AM175" s="312"/>
      <c r="AN175" s="170"/>
      <c r="AO175" s="192" t="s">
        <v>261</v>
      </c>
      <c r="AP175" s="85">
        <v>6.4423076923076925</v>
      </c>
      <c r="AQ175" s="125"/>
      <c r="AR175" s="120"/>
    </row>
    <row r="176" spans="1:51" ht="23.25">
      <c r="A176" s="121"/>
      <c r="B176" s="303"/>
      <c r="C176" s="85">
        <v>20</v>
      </c>
      <c r="D176" s="85" t="s">
        <v>511</v>
      </c>
      <c r="E176" s="151" t="s">
        <v>52</v>
      </c>
      <c r="F176" s="85">
        <f>IF($AP$86="failed", 0, 1)</f>
        <v>1</v>
      </c>
      <c r="G176" s="85">
        <v>0</v>
      </c>
      <c r="H176" s="85">
        <v>0</v>
      </c>
      <c r="I176" s="85">
        <v>0</v>
      </c>
      <c r="J176" s="85">
        <v>60</v>
      </c>
      <c r="K176" s="85">
        <v>0</v>
      </c>
      <c r="L176" s="85">
        <v>0</v>
      </c>
      <c r="M176" s="85">
        <v>0</v>
      </c>
      <c r="N176" s="85">
        <v>0</v>
      </c>
      <c r="O176" s="85">
        <v>0</v>
      </c>
      <c r="P176" s="85">
        <v>0</v>
      </c>
      <c r="Q176" s="85">
        <v>0</v>
      </c>
      <c r="R176" s="85">
        <v>0</v>
      </c>
      <c r="S176" s="85">
        <v>0</v>
      </c>
      <c r="T176" s="85">
        <f t="shared" si="75"/>
        <v>60</v>
      </c>
      <c r="U176" s="89"/>
      <c r="V176" s="89">
        <f t="shared" si="59"/>
        <v>6.5257379574309189</v>
      </c>
      <c r="W176" s="89">
        <f t="shared" si="71"/>
        <v>0</v>
      </c>
      <c r="X176" s="89">
        <f t="shared" si="76"/>
        <v>0</v>
      </c>
      <c r="Y176" s="89">
        <f t="shared" si="67"/>
        <v>50.212500000000006</v>
      </c>
      <c r="Z176" s="89">
        <f t="shared" si="72"/>
        <v>0</v>
      </c>
      <c r="AA176" s="89">
        <f t="shared" si="60"/>
        <v>0</v>
      </c>
      <c r="AB176" s="89">
        <f t="shared" si="73"/>
        <v>0</v>
      </c>
      <c r="AC176" s="89">
        <f t="shared" si="61"/>
        <v>0</v>
      </c>
      <c r="AD176" s="89">
        <f t="shared" si="62"/>
        <v>0</v>
      </c>
      <c r="AE176" s="89">
        <f t="shared" si="63"/>
        <v>0</v>
      </c>
      <c r="AF176" s="89">
        <f t="shared" si="64"/>
        <v>0</v>
      </c>
      <c r="AG176" s="89">
        <f t="shared" si="65"/>
        <v>0</v>
      </c>
      <c r="AH176" s="89">
        <f t="shared" si="66"/>
        <v>0</v>
      </c>
      <c r="AI176" s="89">
        <v>0</v>
      </c>
      <c r="AJ176" s="89"/>
      <c r="AK176" s="89">
        <v>0</v>
      </c>
      <c r="AL176" s="154">
        <f t="shared" si="77"/>
        <v>56.738237957430925</v>
      </c>
      <c r="AM176" s="312"/>
      <c r="AN176" s="170"/>
      <c r="AO176" s="126"/>
      <c r="AP176" s="2"/>
      <c r="AQ176" s="125"/>
      <c r="AR176" s="120"/>
      <c r="AT176" t="s">
        <v>392</v>
      </c>
      <c r="AU176">
        <v>207.55321273071434</v>
      </c>
    </row>
    <row r="177" spans="1:47" ht="23.25">
      <c r="A177" s="121"/>
      <c r="B177" s="303"/>
      <c r="C177" s="85">
        <v>21</v>
      </c>
      <c r="D177" s="85" t="s">
        <v>512</v>
      </c>
      <c r="E177" s="151" t="s">
        <v>152</v>
      </c>
      <c r="F177" s="85">
        <f>IF($AP$86="failed", 0, 1)</f>
        <v>1</v>
      </c>
      <c r="G177" s="85">
        <v>0</v>
      </c>
      <c r="H177" s="85">
        <v>0</v>
      </c>
      <c r="I177" s="85">
        <v>40</v>
      </c>
      <c r="J177" s="85">
        <v>40</v>
      </c>
      <c r="K177" s="85">
        <v>5</v>
      </c>
      <c r="L177" s="85">
        <v>0</v>
      </c>
      <c r="M177" s="85">
        <v>0</v>
      </c>
      <c r="N177" s="85">
        <v>0</v>
      </c>
      <c r="O177" s="85">
        <v>0</v>
      </c>
      <c r="P177" s="85">
        <v>0</v>
      </c>
      <c r="Q177" s="85">
        <v>0</v>
      </c>
      <c r="R177" s="85">
        <v>0</v>
      </c>
      <c r="S177" s="85">
        <v>0</v>
      </c>
      <c r="T177" s="85">
        <f t="shared" si="75"/>
        <v>85</v>
      </c>
      <c r="U177" s="89"/>
      <c r="V177" s="89">
        <f t="shared" si="59"/>
        <v>9.2447954396938012</v>
      </c>
      <c r="W177" s="89">
        <f t="shared" si="71"/>
        <v>0</v>
      </c>
      <c r="X177" s="89">
        <f t="shared" si="76"/>
        <v>43.066666666666663</v>
      </c>
      <c r="Y177" s="89">
        <f t="shared" si="67"/>
        <v>33.475000000000009</v>
      </c>
      <c r="Z177" s="89">
        <f t="shared" si="72"/>
        <v>16.556485704992671</v>
      </c>
      <c r="AA177" s="89">
        <f t="shared" si="60"/>
        <v>0</v>
      </c>
      <c r="AB177" s="89">
        <f t="shared" si="73"/>
        <v>10.435305059523809</v>
      </c>
      <c r="AC177" s="89">
        <f t="shared" si="61"/>
        <v>0</v>
      </c>
      <c r="AD177" s="89">
        <f t="shared" si="62"/>
        <v>0</v>
      </c>
      <c r="AE177" s="89">
        <f t="shared" si="63"/>
        <v>0</v>
      </c>
      <c r="AF177" s="89">
        <f t="shared" si="64"/>
        <v>0</v>
      </c>
      <c r="AG177" s="89">
        <f t="shared" si="65"/>
        <v>0</v>
      </c>
      <c r="AH177" s="89">
        <f t="shared" si="66"/>
        <v>0</v>
      </c>
      <c r="AI177" s="89">
        <f>inputs!$E$48*F177</f>
        <v>46.476100000000002</v>
      </c>
      <c r="AJ177" s="89"/>
      <c r="AK177" s="89">
        <v>0</v>
      </c>
      <c r="AL177" s="154">
        <f t="shared" si="77"/>
        <v>159.25435287087697</v>
      </c>
      <c r="AM177" s="312"/>
      <c r="AN177" s="170"/>
      <c r="AO177" s="192" t="s">
        <v>249</v>
      </c>
      <c r="AP177" s="85">
        <f>23.7/AP165</f>
        <v>4.74</v>
      </c>
      <c r="AQ177" s="125"/>
      <c r="AR177" s="120"/>
      <c r="AT177" t="s">
        <v>393</v>
      </c>
      <c r="AU177">
        <v>195.38</v>
      </c>
    </row>
    <row r="178" spans="1:47" ht="23.25">
      <c r="A178" s="121"/>
      <c r="B178" s="303"/>
      <c r="C178" s="85">
        <v>23</v>
      </c>
      <c r="D178" s="85" t="s">
        <v>95</v>
      </c>
      <c r="E178" s="151" t="s">
        <v>153</v>
      </c>
      <c r="F178" s="85">
        <f>IF($AP$86="failed", 0, 1)</f>
        <v>1</v>
      </c>
      <c r="G178" s="85">
        <v>0</v>
      </c>
      <c r="H178" s="85">
        <v>0</v>
      </c>
      <c r="I178" s="85">
        <v>0</v>
      </c>
      <c r="J178" s="85">
        <v>0</v>
      </c>
      <c r="K178" s="85">
        <v>34.5</v>
      </c>
      <c r="L178" s="85">
        <v>0</v>
      </c>
      <c r="M178" s="85">
        <v>0</v>
      </c>
      <c r="N178" s="85">
        <v>0</v>
      </c>
      <c r="O178" s="85">
        <v>0</v>
      </c>
      <c r="P178" s="85">
        <v>0</v>
      </c>
      <c r="Q178" s="85">
        <v>0</v>
      </c>
      <c r="R178" s="85">
        <v>0</v>
      </c>
      <c r="S178" s="85">
        <v>0</v>
      </c>
      <c r="T178" s="85">
        <f t="shared" si="75"/>
        <v>34.5</v>
      </c>
      <c r="U178" s="89"/>
      <c r="V178" s="89">
        <f t="shared" si="59"/>
        <v>3.7522993255227783</v>
      </c>
      <c r="W178" s="89">
        <f t="shared" si="71"/>
        <v>0</v>
      </c>
      <c r="X178" s="89">
        <f t="shared" si="76"/>
        <v>0</v>
      </c>
      <c r="Y178" s="89">
        <f t="shared" si="67"/>
        <v>0</v>
      </c>
      <c r="Z178" s="89">
        <f t="shared" si="72"/>
        <v>0</v>
      </c>
      <c r="AA178" s="89">
        <f t="shared" si="60"/>
        <v>0</v>
      </c>
      <c r="AB178" s="89">
        <f t="shared" si="73"/>
        <v>72.003604910714287</v>
      </c>
      <c r="AC178" s="89">
        <f t="shared" si="61"/>
        <v>15.39742406987739</v>
      </c>
      <c r="AD178" s="89">
        <f t="shared" si="62"/>
        <v>63.66203201915102</v>
      </c>
      <c r="AE178" s="89">
        <f t="shared" si="63"/>
        <v>0</v>
      </c>
      <c r="AF178" s="89">
        <f t="shared" si="64"/>
        <v>0</v>
      </c>
      <c r="AG178" s="89">
        <f t="shared" si="65"/>
        <v>0</v>
      </c>
      <c r="AH178" s="89">
        <f t="shared" si="66"/>
        <v>0</v>
      </c>
      <c r="AI178" s="89">
        <v>0</v>
      </c>
      <c r="AJ178" s="89"/>
      <c r="AK178" s="89">
        <v>0</v>
      </c>
      <c r="AL178" s="154">
        <f t="shared" si="77"/>
        <v>154.81536032526549</v>
      </c>
      <c r="AM178" s="312"/>
      <c r="AN178" s="170" t="s">
        <v>215</v>
      </c>
      <c r="AO178" s="192" t="s">
        <v>250</v>
      </c>
      <c r="AP178" s="85">
        <v>2.89</v>
      </c>
      <c r="AQ178" s="125"/>
      <c r="AR178" s="120"/>
    </row>
    <row r="179" spans="1:47" ht="23.25">
      <c r="A179" s="121"/>
      <c r="B179" s="303"/>
      <c r="C179" s="85">
        <v>24</v>
      </c>
      <c r="D179" s="85" t="s">
        <v>530</v>
      </c>
      <c r="E179" s="151" t="s">
        <v>160</v>
      </c>
      <c r="F179" s="85">
        <f>IF($AP$89="IVF", 0, 1)</f>
        <v>1</v>
      </c>
      <c r="G179" s="85">
        <v>0</v>
      </c>
      <c r="H179" s="85">
        <v>0</v>
      </c>
      <c r="I179" s="85">
        <v>0</v>
      </c>
      <c r="J179" s="85">
        <v>0</v>
      </c>
      <c r="K179" s="85">
        <f>AP181*AP163/2</f>
        <v>29.27051282051282</v>
      </c>
      <c r="L179" s="85">
        <v>0</v>
      </c>
      <c r="M179" s="85">
        <v>0</v>
      </c>
      <c r="N179" s="85">
        <v>0</v>
      </c>
      <c r="O179" s="85">
        <v>0</v>
      </c>
      <c r="P179" s="85">
        <v>0</v>
      </c>
      <c r="Q179" s="85">
        <v>0</v>
      </c>
      <c r="R179" s="85">
        <v>0</v>
      </c>
      <c r="S179" s="85">
        <v>0</v>
      </c>
      <c r="T179" s="85">
        <f t="shared" si="75"/>
        <v>29.27051282051282</v>
      </c>
      <c r="U179" s="89"/>
      <c r="V179" s="89">
        <f t="shared" si="59"/>
        <v>3.1835282757714811</v>
      </c>
      <c r="W179" s="89">
        <f t="shared" si="71"/>
        <v>0</v>
      </c>
      <c r="X179" s="89">
        <f t="shared" si="76"/>
        <v>0</v>
      </c>
      <c r="Y179" s="89">
        <f t="shared" si="67"/>
        <v>0</v>
      </c>
      <c r="Z179" s="89">
        <f t="shared" si="72"/>
        <v>0</v>
      </c>
      <c r="AA179" s="89">
        <f t="shared" si="60"/>
        <v>0</v>
      </c>
      <c r="AB179" s="89">
        <f t="shared" si="73"/>
        <v>61.089346106150792</v>
      </c>
      <c r="AC179" s="89">
        <f t="shared" si="61"/>
        <v>13.063492714209241</v>
      </c>
      <c r="AD179" s="89">
        <f t="shared" si="62"/>
        <v>0</v>
      </c>
      <c r="AE179" s="89">
        <f t="shared" si="63"/>
        <v>35.272566739607619</v>
      </c>
      <c r="AF179" s="89">
        <f t="shared" si="64"/>
        <v>0</v>
      </c>
      <c r="AG179" s="89">
        <f t="shared" si="65"/>
        <v>0</v>
      </c>
      <c r="AH179" s="89">
        <f t="shared" si="66"/>
        <v>0</v>
      </c>
      <c r="AI179" s="89">
        <v>0</v>
      </c>
      <c r="AJ179" s="89"/>
      <c r="AK179" s="89">
        <v>0</v>
      </c>
      <c r="AL179" s="154">
        <f t="shared" si="77"/>
        <v>112.60893383573915</v>
      </c>
      <c r="AM179" s="312"/>
      <c r="AN179" s="170" t="s">
        <v>62</v>
      </c>
      <c r="AO179" s="192" t="s">
        <v>251</v>
      </c>
      <c r="AP179" s="85">
        <v>1.04</v>
      </c>
      <c r="AQ179" s="125"/>
      <c r="AR179" s="120"/>
    </row>
    <row r="180" spans="1:47" ht="26.25" customHeight="1">
      <c r="A180" s="121"/>
      <c r="B180" s="303"/>
      <c r="C180" s="85">
        <v>25</v>
      </c>
      <c r="D180" s="85" t="s">
        <v>103</v>
      </c>
      <c r="E180" s="151" t="s">
        <v>153</v>
      </c>
      <c r="F180" s="85">
        <f>IF($AP$89="ICSI", 0, 1)</f>
        <v>1</v>
      </c>
      <c r="G180" s="85">
        <v>0</v>
      </c>
      <c r="H180" s="85">
        <v>0</v>
      </c>
      <c r="I180" s="85">
        <v>0</v>
      </c>
      <c r="J180" s="85">
        <v>0</v>
      </c>
      <c r="K180" s="85">
        <v>10.4</v>
      </c>
      <c r="L180" s="85">
        <v>0</v>
      </c>
      <c r="M180" s="85">
        <v>0</v>
      </c>
      <c r="N180" s="85">
        <v>0</v>
      </c>
      <c r="O180" s="85">
        <v>0</v>
      </c>
      <c r="P180" s="85">
        <v>0</v>
      </c>
      <c r="Q180" s="85">
        <v>0</v>
      </c>
      <c r="R180" s="85">
        <v>0</v>
      </c>
      <c r="S180" s="85">
        <v>0</v>
      </c>
      <c r="T180" s="85">
        <f t="shared" si="75"/>
        <v>10.4</v>
      </c>
      <c r="U180" s="89"/>
      <c r="V180" s="89">
        <f t="shared" si="59"/>
        <v>1.1311279126213594</v>
      </c>
      <c r="W180" s="89">
        <f t="shared" si="71"/>
        <v>0</v>
      </c>
      <c r="X180" s="89">
        <f t="shared" si="76"/>
        <v>0</v>
      </c>
      <c r="Y180" s="89">
        <f t="shared" si="67"/>
        <v>0</v>
      </c>
      <c r="Z180" s="89">
        <f t="shared" si="72"/>
        <v>0</v>
      </c>
      <c r="AA180" s="89">
        <f t="shared" si="60"/>
        <v>0</v>
      </c>
      <c r="AB180" s="89">
        <f t="shared" si="73"/>
        <v>21.705434523809526</v>
      </c>
      <c r="AC180" s="89">
        <f t="shared" si="61"/>
        <v>4.6415423283108659</v>
      </c>
      <c r="AD180" s="89">
        <f t="shared" si="62"/>
        <v>19.190873420265817</v>
      </c>
      <c r="AE180" s="89">
        <f t="shared" si="63"/>
        <v>0</v>
      </c>
      <c r="AF180" s="89">
        <f t="shared" si="64"/>
        <v>0</v>
      </c>
      <c r="AG180" s="89">
        <f t="shared" si="65"/>
        <v>0</v>
      </c>
      <c r="AH180" s="89">
        <f t="shared" si="66"/>
        <v>0</v>
      </c>
      <c r="AI180" s="89">
        <v>0</v>
      </c>
      <c r="AJ180" s="89"/>
      <c r="AK180" s="89">
        <v>0</v>
      </c>
      <c r="AL180" s="175">
        <f t="shared" si="77"/>
        <v>46.668978185007568</v>
      </c>
      <c r="AM180" s="313" t="s">
        <v>368</v>
      </c>
      <c r="AN180" s="170" t="s">
        <v>174</v>
      </c>
      <c r="AO180" s="192" t="s">
        <v>252</v>
      </c>
      <c r="AP180" s="85">
        <v>3.39</v>
      </c>
      <c r="AQ180" s="125"/>
      <c r="AR180" s="120"/>
    </row>
    <row r="181" spans="1:47" ht="23.25">
      <c r="A181" s="121"/>
      <c r="B181" s="303"/>
      <c r="C181" s="85">
        <v>26</v>
      </c>
      <c r="D181" s="85" t="s">
        <v>104</v>
      </c>
      <c r="E181" s="151" t="s">
        <v>160</v>
      </c>
      <c r="F181" s="85">
        <f>IF($AP$89="IVF", 0, 1)</f>
        <v>1</v>
      </c>
      <c r="G181" s="85">
        <v>0</v>
      </c>
      <c r="H181" s="85">
        <v>0</v>
      </c>
      <c r="I181" s="85">
        <v>0</v>
      </c>
      <c r="J181" s="85">
        <v>0</v>
      </c>
      <c r="K181" s="85">
        <f>AP182*AP164/2</f>
        <v>79.744117647058829</v>
      </c>
      <c r="L181" s="85">
        <v>0</v>
      </c>
      <c r="M181" s="85">
        <v>0</v>
      </c>
      <c r="N181" s="85">
        <v>0</v>
      </c>
      <c r="O181" s="85">
        <v>0</v>
      </c>
      <c r="P181" s="85">
        <v>0</v>
      </c>
      <c r="Q181" s="85">
        <v>0</v>
      </c>
      <c r="R181" s="85">
        <v>0</v>
      </c>
      <c r="S181" s="85">
        <v>0</v>
      </c>
      <c r="T181" s="85">
        <f t="shared" si="75"/>
        <v>79.744117647058829</v>
      </c>
      <c r="U181" s="89"/>
      <c r="V181" s="89">
        <f t="shared" si="59"/>
        <v>8.6731535901874768</v>
      </c>
      <c r="W181" s="89">
        <f t="shared" si="71"/>
        <v>0</v>
      </c>
      <c r="X181" s="89">
        <f t="shared" si="76"/>
        <v>0</v>
      </c>
      <c r="Y181" s="89">
        <f t="shared" si="67"/>
        <v>0</v>
      </c>
      <c r="Z181" s="89">
        <f t="shared" si="72"/>
        <v>0</v>
      </c>
      <c r="AA181" s="89">
        <f t="shared" si="60"/>
        <v>0</v>
      </c>
      <c r="AB181" s="89">
        <f t="shared" si="73"/>
        <v>166.43083886992298</v>
      </c>
      <c r="AC181" s="89">
        <f t="shared" si="61"/>
        <v>35.589970912752406</v>
      </c>
      <c r="AD181" s="89">
        <f t="shared" si="62"/>
        <v>0</v>
      </c>
      <c r="AE181" s="89">
        <f t="shared" si="63"/>
        <v>96.096017485071314</v>
      </c>
      <c r="AF181" s="89">
        <f t="shared" si="64"/>
        <v>0</v>
      </c>
      <c r="AG181" s="89">
        <f t="shared" si="65"/>
        <v>0</v>
      </c>
      <c r="AH181" s="89">
        <f t="shared" si="66"/>
        <v>0</v>
      </c>
      <c r="AI181" s="89">
        <f>inputs!E133*F181</f>
        <v>0</v>
      </c>
      <c r="AJ181" s="89"/>
      <c r="AK181" s="89">
        <v>0</v>
      </c>
      <c r="AL181" s="175">
        <f t="shared" si="77"/>
        <v>306.78998085793421</v>
      </c>
      <c r="AM181" s="313"/>
      <c r="AN181" s="170" t="s">
        <v>62</v>
      </c>
      <c r="AO181" s="192" t="s">
        <v>253</v>
      </c>
      <c r="AP181" s="85">
        <v>2.89</v>
      </c>
      <c r="AQ181" s="125"/>
      <c r="AR181" s="120"/>
    </row>
    <row r="182" spans="1:47" ht="23.25">
      <c r="A182" s="121"/>
      <c r="B182" s="303"/>
      <c r="C182" s="85">
        <v>27</v>
      </c>
      <c r="D182" s="85" t="s">
        <v>515</v>
      </c>
      <c r="E182" s="151" t="s">
        <v>52</v>
      </c>
      <c r="F182" s="85">
        <f>IF(AP167="yes", 0, 1)</f>
        <v>1</v>
      </c>
      <c r="G182" s="85">
        <v>0</v>
      </c>
      <c r="H182" s="85">
        <v>0</v>
      </c>
      <c r="I182" s="85">
        <v>0</v>
      </c>
      <c r="J182" s="85">
        <v>10</v>
      </c>
      <c r="K182" s="85">
        <v>0</v>
      </c>
      <c r="L182" s="85">
        <v>0</v>
      </c>
      <c r="M182" s="85">
        <v>0</v>
      </c>
      <c r="N182" s="85">
        <v>0</v>
      </c>
      <c r="O182" s="85">
        <v>0</v>
      </c>
      <c r="P182" s="85">
        <v>0</v>
      </c>
      <c r="Q182" s="85">
        <v>0</v>
      </c>
      <c r="R182" s="85">
        <v>0</v>
      </c>
      <c r="S182" s="85">
        <v>0</v>
      </c>
      <c r="T182" s="85">
        <f t="shared" si="75"/>
        <v>10</v>
      </c>
      <c r="U182" s="89"/>
      <c r="V182" s="89">
        <f t="shared" si="59"/>
        <v>1.0876229929051531</v>
      </c>
      <c r="W182" s="89">
        <f t="shared" si="71"/>
        <v>0</v>
      </c>
      <c r="X182" s="89">
        <f t="shared" si="76"/>
        <v>0</v>
      </c>
      <c r="Y182" s="89">
        <f t="shared" si="67"/>
        <v>8.3687500000000021</v>
      </c>
      <c r="Z182" s="89">
        <f t="shared" si="72"/>
        <v>0</v>
      </c>
      <c r="AA182" s="89">
        <f t="shared" si="60"/>
        <v>0</v>
      </c>
      <c r="AB182" s="89">
        <f t="shared" si="73"/>
        <v>0</v>
      </c>
      <c r="AC182" s="89">
        <f t="shared" si="61"/>
        <v>0</v>
      </c>
      <c r="AD182" s="89">
        <f t="shared" si="62"/>
        <v>0</v>
      </c>
      <c r="AE182" s="89">
        <f t="shared" si="63"/>
        <v>0</v>
      </c>
      <c r="AF182" s="89">
        <f t="shared" si="64"/>
        <v>0</v>
      </c>
      <c r="AG182" s="89">
        <f t="shared" si="65"/>
        <v>0</v>
      </c>
      <c r="AH182" s="89">
        <f t="shared" si="66"/>
        <v>0</v>
      </c>
      <c r="AI182" s="89">
        <v>0</v>
      </c>
      <c r="AJ182" s="89"/>
      <c r="AK182" s="89">
        <v>0</v>
      </c>
      <c r="AL182" s="175">
        <f t="shared" si="77"/>
        <v>9.4563729929051554</v>
      </c>
      <c r="AM182" s="313"/>
      <c r="AN182" s="170" t="s">
        <v>215</v>
      </c>
      <c r="AO182" s="192" t="s">
        <v>254</v>
      </c>
      <c r="AP182" s="85">
        <v>9.5</v>
      </c>
      <c r="AQ182" s="125"/>
      <c r="AR182" s="120"/>
    </row>
    <row r="183" spans="1:47" ht="23.25">
      <c r="A183" s="121"/>
      <c r="B183" s="303"/>
      <c r="C183" s="85">
        <v>28</v>
      </c>
      <c r="D183" s="85" t="s">
        <v>96</v>
      </c>
      <c r="E183" s="151" t="s">
        <v>153</v>
      </c>
      <c r="F183" s="85">
        <f>IF($AP$89="ICSI", 0, 1)</f>
        <v>1</v>
      </c>
      <c r="G183" s="85">
        <v>0</v>
      </c>
      <c r="H183" s="85">
        <v>0</v>
      </c>
      <c r="I183" s="85">
        <v>0</v>
      </c>
      <c r="J183" s="85">
        <v>0</v>
      </c>
      <c r="K183" s="85">
        <f>AP178*AP164/2</f>
        <v>24.259000000000004</v>
      </c>
      <c r="L183" s="85">
        <v>0</v>
      </c>
      <c r="M183" s="85">
        <v>0</v>
      </c>
      <c r="N183" s="85">
        <v>0</v>
      </c>
      <c r="O183" s="85">
        <v>0</v>
      </c>
      <c r="P183" s="85">
        <v>0</v>
      </c>
      <c r="Q183" s="85">
        <v>0</v>
      </c>
      <c r="R183" s="85">
        <v>0</v>
      </c>
      <c r="S183" s="85">
        <v>0</v>
      </c>
      <c r="T183" s="85">
        <f t="shared" si="75"/>
        <v>24.259000000000004</v>
      </c>
      <c r="U183" s="89"/>
      <c r="V183" s="89">
        <f t="shared" si="59"/>
        <v>2.6384646184886114</v>
      </c>
      <c r="W183" s="89">
        <f t="shared" si="71"/>
        <v>0</v>
      </c>
      <c r="X183" s="89">
        <f t="shared" si="76"/>
        <v>0</v>
      </c>
      <c r="Y183" s="89">
        <f t="shared" si="67"/>
        <v>0</v>
      </c>
      <c r="Z183" s="89">
        <f t="shared" si="72"/>
        <v>0</v>
      </c>
      <c r="AA183" s="89">
        <f t="shared" si="60"/>
        <v>0</v>
      </c>
      <c r="AB183" s="89">
        <f t="shared" si="73"/>
        <v>50.630013087797629</v>
      </c>
      <c r="AC183" s="89">
        <f>(IF(ISNUMBER(SEARCH("CCR7", E183)),K183*$AC$3, 0))*F183</f>
        <v>10.826843782932048</v>
      </c>
      <c r="AD183" s="89">
        <f t="shared" si="62"/>
        <v>44.764557529060433</v>
      </c>
      <c r="AE183" s="89">
        <f t="shared" si="63"/>
        <v>0</v>
      </c>
      <c r="AF183" s="89">
        <f t="shared" si="64"/>
        <v>0</v>
      </c>
      <c r="AG183" s="89">
        <f t="shared" si="65"/>
        <v>0</v>
      </c>
      <c r="AH183" s="89">
        <f t="shared" si="66"/>
        <v>0</v>
      </c>
      <c r="AI183" s="89">
        <v>0</v>
      </c>
      <c r="AJ183" s="89"/>
      <c r="AK183" s="89">
        <v>0</v>
      </c>
      <c r="AL183" s="175">
        <f t="shared" si="77"/>
        <v>108.85987901827872</v>
      </c>
      <c r="AM183" s="313"/>
      <c r="AN183" s="170" t="s">
        <v>174</v>
      </c>
      <c r="AO183" s="193" t="s">
        <v>255</v>
      </c>
      <c r="AP183" s="87">
        <v>1.17</v>
      </c>
      <c r="AQ183" s="128"/>
      <c r="AR183" s="120"/>
    </row>
    <row r="184" spans="1:47" ht="23.25">
      <c r="A184" s="121"/>
      <c r="B184" s="303"/>
      <c r="C184" s="85">
        <v>29</v>
      </c>
      <c r="D184" s="85" t="s">
        <v>97</v>
      </c>
      <c r="E184" s="151" t="s">
        <v>157</v>
      </c>
      <c r="F184" s="85">
        <f>IF($AP$89="IVF", 0, 1)</f>
        <v>1</v>
      </c>
      <c r="G184" s="85">
        <v>0</v>
      </c>
      <c r="H184" s="85">
        <v>0</v>
      </c>
      <c r="I184" s="85">
        <v>0</v>
      </c>
      <c r="J184" s="85">
        <v>0</v>
      </c>
      <c r="K184" s="85">
        <f>AP183*AP170/2</f>
        <v>3.7687499999999998</v>
      </c>
      <c r="L184" s="85">
        <v>0</v>
      </c>
      <c r="M184" s="85">
        <v>0</v>
      </c>
      <c r="N184" s="85">
        <v>0</v>
      </c>
      <c r="O184" s="85">
        <v>0</v>
      </c>
      <c r="P184" s="85">
        <v>0</v>
      </c>
      <c r="Q184" s="85">
        <v>0</v>
      </c>
      <c r="R184" s="85">
        <v>0</v>
      </c>
      <c r="S184" s="85">
        <v>0</v>
      </c>
      <c r="T184" s="85">
        <f t="shared" si="75"/>
        <v>3.7687499999999998</v>
      </c>
      <c r="U184" s="89"/>
      <c r="V184" s="89">
        <f t="shared" si="59"/>
        <v>0.40989791545112958</v>
      </c>
      <c r="W184" s="89">
        <f t="shared" si="71"/>
        <v>0</v>
      </c>
      <c r="X184" s="89">
        <f t="shared" si="76"/>
        <v>0</v>
      </c>
      <c r="Y184" s="89">
        <f t="shared" si="67"/>
        <v>0</v>
      </c>
      <c r="Z184" s="89">
        <f t="shared" si="72"/>
        <v>0</v>
      </c>
      <c r="AA184" s="89">
        <f t="shared" si="60"/>
        <v>0</v>
      </c>
      <c r="AB184" s="89">
        <f t="shared" si="73"/>
        <v>7.8656111886160707</v>
      </c>
      <c r="AC184" s="89">
        <f t="shared" si="61"/>
        <v>0</v>
      </c>
      <c r="AD184" s="89">
        <f t="shared" si="62"/>
        <v>0</v>
      </c>
      <c r="AE184" s="89">
        <f t="shared" si="63"/>
        <v>4.5415496036931824</v>
      </c>
      <c r="AF184" s="89">
        <f t="shared" si="64"/>
        <v>0</v>
      </c>
      <c r="AG184" s="89">
        <f t="shared" si="65"/>
        <v>0</v>
      </c>
      <c r="AH184" s="89">
        <f t="shared" si="66"/>
        <v>0</v>
      </c>
      <c r="AI184" s="89">
        <v>0</v>
      </c>
      <c r="AJ184" s="89"/>
      <c r="AK184" s="89">
        <v>0</v>
      </c>
      <c r="AL184" s="175">
        <f t="shared" si="77"/>
        <v>12.817058707760383</v>
      </c>
      <c r="AM184" s="313"/>
      <c r="AN184" s="170" t="s">
        <v>62</v>
      </c>
      <c r="AO184" s="121"/>
      <c r="AP184" s="121"/>
      <c r="AQ184" s="121"/>
      <c r="AR184" s="120"/>
    </row>
    <row r="185" spans="1:47" ht="23.25">
      <c r="A185" s="121"/>
      <c r="B185" s="303"/>
      <c r="C185" s="85">
        <v>30</v>
      </c>
      <c r="D185" s="85" t="s">
        <v>535</v>
      </c>
      <c r="E185" s="151" t="s">
        <v>148</v>
      </c>
      <c r="F185" s="85">
        <v>1</v>
      </c>
      <c r="G185" s="85">
        <v>0</v>
      </c>
      <c r="H185" s="85">
        <v>0</v>
      </c>
      <c r="I185" s="85">
        <v>0</v>
      </c>
      <c r="J185" s="85">
        <v>0</v>
      </c>
      <c r="K185" s="85">
        <v>5.6</v>
      </c>
      <c r="L185" s="85">
        <v>0</v>
      </c>
      <c r="M185" s="85">
        <v>0</v>
      </c>
      <c r="N185" s="85">
        <v>0</v>
      </c>
      <c r="O185" s="85">
        <v>0</v>
      </c>
      <c r="P185" s="85">
        <v>0</v>
      </c>
      <c r="Q185" s="85">
        <v>0</v>
      </c>
      <c r="R185" s="85">
        <v>0</v>
      </c>
      <c r="S185" s="85">
        <v>0</v>
      </c>
      <c r="T185" s="85">
        <f t="shared" si="75"/>
        <v>5.6</v>
      </c>
      <c r="U185" s="89"/>
      <c r="V185" s="89">
        <f t="shared" si="59"/>
        <v>0.60906887602688575</v>
      </c>
      <c r="W185" s="89">
        <f t="shared" si="71"/>
        <v>0</v>
      </c>
      <c r="X185" s="89">
        <f t="shared" si="76"/>
        <v>0</v>
      </c>
      <c r="Y185" s="89">
        <f t="shared" si="67"/>
        <v>0</v>
      </c>
      <c r="Z185" s="89">
        <f t="shared" si="72"/>
        <v>0</v>
      </c>
      <c r="AA185" s="89">
        <f t="shared" si="60"/>
        <v>0</v>
      </c>
      <c r="AB185" s="89">
        <f t="shared" si="73"/>
        <v>11.687541666666666</v>
      </c>
      <c r="AC185" s="89">
        <f t="shared" si="61"/>
        <v>2.4992920229366198</v>
      </c>
      <c r="AD185" s="89">
        <f t="shared" si="62"/>
        <v>0</v>
      </c>
      <c r="AE185" s="89">
        <f t="shared" si="63"/>
        <v>0</v>
      </c>
      <c r="AF185" s="89">
        <f t="shared" si="64"/>
        <v>0</v>
      </c>
      <c r="AG185" s="89">
        <f t="shared" si="65"/>
        <v>0</v>
      </c>
      <c r="AH185" s="89">
        <f t="shared" si="66"/>
        <v>0</v>
      </c>
      <c r="AI185" s="89">
        <v>0</v>
      </c>
      <c r="AJ185" s="89"/>
      <c r="AK185" s="89">
        <v>0</v>
      </c>
      <c r="AL185" s="175">
        <f t="shared" si="77"/>
        <v>14.795902565630172</v>
      </c>
      <c r="AM185" s="313"/>
      <c r="AN185" s="170" t="s">
        <v>215</v>
      </c>
      <c r="AO185" s="120"/>
      <c r="AP185" s="120"/>
      <c r="AQ185" s="120"/>
      <c r="AR185" s="120"/>
    </row>
    <row r="186" spans="1:47" ht="23.25">
      <c r="A186" s="121"/>
      <c r="B186" s="303"/>
      <c r="C186" s="85">
        <v>31</v>
      </c>
      <c r="D186" s="85" t="s">
        <v>98</v>
      </c>
      <c r="E186" s="151" t="s">
        <v>157</v>
      </c>
      <c r="F186" s="85">
        <f>IF($AP$89="IVF", 0, 1)</f>
        <v>1</v>
      </c>
      <c r="G186" s="85">
        <v>0</v>
      </c>
      <c r="H186" s="85">
        <v>0</v>
      </c>
      <c r="I186" s="85">
        <v>0</v>
      </c>
      <c r="J186" s="85">
        <v>0</v>
      </c>
      <c r="K186" s="85">
        <f>K184</f>
        <v>3.7687499999999998</v>
      </c>
      <c r="L186" s="85">
        <v>0</v>
      </c>
      <c r="M186" s="85">
        <v>0</v>
      </c>
      <c r="N186" s="85">
        <v>0</v>
      </c>
      <c r="O186" s="85">
        <v>0</v>
      </c>
      <c r="P186" s="85">
        <v>0</v>
      </c>
      <c r="Q186" s="85">
        <v>0</v>
      </c>
      <c r="R186" s="85">
        <v>0</v>
      </c>
      <c r="S186" s="85">
        <v>0</v>
      </c>
      <c r="T186" s="85">
        <f t="shared" si="75"/>
        <v>3.7687499999999998</v>
      </c>
      <c r="U186" s="89"/>
      <c r="V186" s="89">
        <f t="shared" si="59"/>
        <v>0.40989791545112958</v>
      </c>
      <c r="W186" s="89">
        <f t="shared" si="71"/>
        <v>0</v>
      </c>
      <c r="X186" s="89">
        <f t="shared" si="76"/>
        <v>0</v>
      </c>
      <c r="Y186" s="89">
        <f t="shared" si="67"/>
        <v>0</v>
      </c>
      <c r="Z186" s="89">
        <f t="shared" si="72"/>
        <v>0</v>
      </c>
      <c r="AA186" s="89">
        <f t="shared" si="60"/>
        <v>0</v>
      </c>
      <c r="AB186" s="89">
        <f t="shared" si="73"/>
        <v>7.8656111886160707</v>
      </c>
      <c r="AC186" s="89">
        <f t="shared" si="61"/>
        <v>0</v>
      </c>
      <c r="AD186" s="89">
        <f t="shared" si="62"/>
        <v>0</v>
      </c>
      <c r="AE186" s="89">
        <f t="shared" si="63"/>
        <v>4.5415496036931824</v>
      </c>
      <c r="AF186" s="89">
        <f t="shared" si="64"/>
        <v>0</v>
      </c>
      <c r="AG186" s="89">
        <f t="shared" si="65"/>
        <v>0</v>
      </c>
      <c r="AH186" s="89">
        <f t="shared" si="66"/>
        <v>0</v>
      </c>
      <c r="AI186" s="89">
        <v>0</v>
      </c>
      <c r="AJ186" s="89"/>
      <c r="AK186" s="89">
        <v>0</v>
      </c>
      <c r="AL186" s="175">
        <f t="shared" si="77"/>
        <v>12.817058707760383</v>
      </c>
      <c r="AM186" s="313"/>
      <c r="AN186" s="170" t="s">
        <v>62</v>
      </c>
      <c r="AO186" s="120"/>
      <c r="AP186" s="120"/>
      <c r="AQ186" s="120"/>
      <c r="AR186" s="120"/>
    </row>
    <row r="187" spans="1:47" ht="23.25">
      <c r="A187" s="121"/>
      <c r="B187" s="303"/>
      <c r="C187" s="85">
        <v>32</v>
      </c>
      <c r="D187" s="85" t="s">
        <v>99</v>
      </c>
      <c r="E187" s="151" t="s">
        <v>156</v>
      </c>
      <c r="F187" s="85">
        <f>IF($AP$89="ICSI", 0, 1)</f>
        <v>1</v>
      </c>
      <c r="G187" s="85">
        <v>0</v>
      </c>
      <c r="H187" s="85">
        <v>0</v>
      </c>
      <c r="I187" s="85">
        <v>0</v>
      </c>
      <c r="J187" s="85">
        <v>0</v>
      </c>
      <c r="K187" s="85">
        <f>AP179*AP170/2</f>
        <v>3.35</v>
      </c>
      <c r="L187" s="85">
        <v>0</v>
      </c>
      <c r="M187" s="85">
        <v>0</v>
      </c>
      <c r="N187" s="85">
        <v>0</v>
      </c>
      <c r="O187" s="85">
        <v>0</v>
      </c>
      <c r="P187" s="85">
        <v>0</v>
      </c>
      <c r="Q187" s="85">
        <v>0</v>
      </c>
      <c r="R187" s="85">
        <v>0</v>
      </c>
      <c r="S187" s="85">
        <v>0</v>
      </c>
      <c r="T187" s="85">
        <f t="shared" si="75"/>
        <v>3.35</v>
      </c>
      <c r="U187" s="89"/>
      <c r="V187" s="89">
        <f t="shared" si="59"/>
        <v>0.36435370262322631</v>
      </c>
      <c r="W187" s="89">
        <f t="shared" si="71"/>
        <v>0</v>
      </c>
      <c r="X187" s="89">
        <f t="shared" si="76"/>
        <v>0</v>
      </c>
      <c r="Y187" s="89">
        <f t="shared" si="67"/>
        <v>0</v>
      </c>
      <c r="Z187" s="89">
        <f t="shared" si="72"/>
        <v>0</v>
      </c>
      <c r="AA187" s="89">
        <f t="shared" si="60"/>
        <v>0</v>
      </c>
      <c r="AB187" s="89">
        <f t="shared" si="73"/>
        <v>6.9916543898809529</v>
      </c>
      <c r="AC187" s="89">
        <f t="shared" si="61"/>
        <v>0</v>
      </c>
      <c r="AD187" s="89">
        <f t="shared" si="62"/>
        <v>6.1816755728740844</v>
      </c>
      <c r="AE187" s="89">
        <f t="shared" si="63"/>
        <v>0</v>
      </c>
      <c r="AF187" s="89">
        <f t="shared" si="64"/>
        <v>0</v>
      </c>
      <c r="AG187" s="89">
        <f t="shared" si="65"/>
        <v>0</v>
      </c>
      <c r="AH187" s="89">
        <f t="shared" si="66"/>
        <v>0</v>
      </c>
      <c r="AI187" s="89">
        <v>0</v>
      </c>
      <c r="AJ187" s="89"/>
      <c r="AK187" s="89">
        <v>0</v>
      </c>
      <c r="AL187" s="175">
        <f t="shared" si="77"/>
        <v>13.537683665378264</v>
      </c>
      <c r="AM187" s="313"/>
      <c r="AN187" s="170" t="s">
        <v>174</v>
      </c>
      <c r="AO187" s="120"/>
      <c r="AP187" s="120"/>
      <c r="AQ187" s="120"/>
      <c r="AR187" s="120"/>
    </row>
    <row r="188" spans="1:47" ht="23.25">
      <c r="A188" s="121"/>
      <c r="B188" s="303"/>
      <c r="C188" s="85">
        <v>33</v>
      </c>
      <c r="D188" s="85" t="s">
        <v>100</v>
      </c>
      <c r="E188" s="151" t="s">
        <v>157</v>
      </c>
      <c r="F188" s="85">
        <f>IF($AP$89="IVF", 0, 1)</f>
        <v>1</v>
      </c>
      <c r="G188" s="85">
        <v>0</v>
      </c>
      <c r="H188" s="85">
        <v>0</v>
      </c>
      <c r="I188" s="85">
        <v>0</v>
      </c>
      <c r="J188" s="85">
        <v>0</v>
      </c>
      <c r="K188" s="85">
        <f>K184</f>
        <v>3.7687499999999998</v>
      </c>
      <c r="L188" s="85">
        <v>0</v>
      </c>
      <c r="M188" s="85">
        <v>0</v>
      </c>
      <c r="N188" s="85">
        <v>0</v>
      </c>
      <c r="O188" s="85">
        <v>0</v>
      </c>
      <c r="P188" s="85">
        <v>0</v>
      </c>
      <c r="Q188" s="85">
        <v>0</v>
      </c>
      <c r="R188" s="85">
        <v>0</v>
      </c>
      <c r="S188" s="85">
        <v>0</v>
      </c>
      <c r="T188" s="85">
        <f t="shared" si="75"/>
        <v>3.7687499999999998</v>
      </c>
      <c r="U188" s="89"/>
      <c r="V188" s="89">
        <f t="shared" si="59"/>
        <v>0.40989791545112958</v>
      </c>
      <c r="W188" s="89">
        <f t="shared" si="71"/>
        <v>0</v>
      </c>
      <c r="X188" s="89">
        <f t="shared" si="76"/>
        <v>0</v>
      </c>
      <c r="Y188" s="89">
        <f t="shared" si="67"/>
        <v>0</v>
      </c>
      <c r="Z188" s="89">
        <f t="shared" si="72"/>
        <v>0</v>
      </c>
      <c r="AA188" s="89">
        <f t="shared" si="60"/>
        <v>0</v>
      </c>
      <c r="AB188" s="89">
        <f t="shared" si="73"/>
        <v>7.8656111886160707</v>
      </c>
      <c r="AC188" s="89">
        <f t="shared" si="61"/>
        <v>0</v>
      </c>
      <c r="AD188" s="89">
        <f t="shared" si="62"/>
        <v>0</v>
      </c>
      <c r="AE188" s="89">
        <f t="shared" si="63"/>
        <v>4.5415496036931824</v>
      </c>
      <c r="AF188" s="89">
        <f t="shared" si="64"/>
        <v>0</v>
      </c>
      <c r="AG188" s="89">
        <f t="shared" si="65"/>
        <v>0</v>
      </c>
      <c r="AH188" s="89">
        <f t="shared" si="66"/>
        <v>0</v>
      </c>
      <c r="AI188" s="89">
        <v>0</v>
      </c>
      <c r="AJ188" s="89"/>
      <c r="AK188" s="89">
        <v>0</v>
      </c>
      <c r="AL188" s="175">
        <f t="shared" si="77"/>
        <v>12.817058707760383</v>
      </c>
      <c r="AM188" s="313"/>
      <c r="AN188" s="170" t="s">
        <v>62</v>
      </c>
      <c r="AO188" s="120"/>
      <c r="AP188" s="120"/>
      <c r="AQ188" s="120"/>
      <c r="AR188" s="120"/>
    </row>
    <row r="189" spans="1:47" ht="23.25">
      <c r="A189" s="121"/>
      <c r="B189" s="303"/>
      <c r="C189" s="85">
        <v>34</v>
      </c>
      <c r="D189" s="85" t="s">
        <v>101</v>
      </c>
      <c r="E189" s="151" t="s">
        <v>156</v>
      </c>
      <c r="F189" s="85">
        <f>IF($AP$89="ICSI", 0, 1)</f>
        <v>1</v>
      </c>
      <c r="G189" s="85">
        <v>0</v>
      </c>
      <c r="H189" s="85">
        <v>0</v>
      </c>
      <c r="I189" s="85">
        <v>0</v>
      </c>
      <c r="J189" s="85">
        <v>0</v>
      </c>
      <c r="K189" s="85">
        <f>K187</f>
        <v>3.35</v>
      </c>
      <c r="L189" s="85">
        <v>0</v>
      </c>
      <c r="M189" s="85">
        <v>0</v>
      </c>
      <c r="N189" s="85">
        <v>0</v>
      </c>
      <c r="O189" s="85">
        <v>0</v>
      </c>
      <c r="P189" s="85">
        <v>0</v>
      </c>
      <c r="Q189" s="85">
        <v>0</v>
      </c>
      <c r="R189" s="85">
        <v>0</v>
      </c>
      <c r="S189" s="85">
        <v>0</v>
      </c>
      <c r="T189" s="85">
        <f t="shared" si="75"/>
        <v>3.35</v>
      </c>
      <c r="U189" s="89"/>
      <c r="V189" s="89">
        <f t="shared" si="59"/>
        <v>0.36435370262322631</v>
      </c>
      <c r="W189" s="89">
        <f t="shared" si="71"/>
        <v>0</v>
      </c>
      <c r="X189" s="89">
        <f t="shared" si="76"/>
        <v>0</v>
      </c>
      <c r="Y189" s="89">
        <f t="shared" si="67"/>
        <v>0</v>
      </c>
      <c r="Z189" s="89">
        <f t="shared" si="72"/>
        <v>0</v>
      </c>
      <c r="AA189" s="89">
        <f t="shared" si="60"/>
        <v>0</v>
      </c>
      <c r="AB189" s="89">
        <f t="shared" si="73"/>
        <v>6.9916543898809529</v>
      </c>
      <c r="AC189" s="89">
        <f t="shared" si="61"/>
        <v>0</v>
      </c>
      <c r="AD189" s="89">
        <f t="shared" si="62"/>
        <v>6.1816755728740844</v>
      </c>
      <c r="AE189" s="89">
        <f t="shared" si="63"/>
        <v>0</v>
      </c>
      <c r="AF189" s="89">
        <f t="shared" si="64"/>
        <v>0</v>
      </c>
      <c r="AG189" s="89">
        <f t="shared" si="65"/>
        <v>0</v>
      </c>
      <c r="AH189" s="89">
        <f t="shared" si="66"/>
        <v>0</v>
      </c>
      <c r="AI189" s="89">
        <v>0</v>
      </c>
      <c r="AJ189" s="89"/>
      <c r="AK189" s="89">
        <v>0</v>
      </c>
      <c r="AL189" s="175">
        <f t="shared" si="77"/>
        <v>13.537683665378264</v>
      </c>
      <c r="AM189" s="313"/>
      <c r="AN189" s="170" t="s">
        <v>174</v>
      </c>
      <c r="AO189" s="121"/>
      <c r="AP189" s="121"/>
      <c r="AQ189" s="121"/>
      <c r="AR189" s="120"/>
    </row>
    <row r="190" spans="1:47" ht="23.25">
      <c r="A190" s="121"/>
      <c r="B190" s="303"/>
      <c r="C190" s="85">
        <v>35</v>
      </c>
      <c r="D190" s="85" t="s">
        <v>105</v>
      </c>
      <c r="E190" s="151" t="s">
        <v>153</v>
      </c>
      <c r="F190" s="85">
        <f>IF(AP168="failed", 0, 1)</f>
        <v>1</v>
      </c>
      <c r="G190" s="85">
        <v>0</v>
      </c>
      <c r="H190" s="85">
        <v>0</v>
      </c>
      <c r="I190" s="85">
        <v>0</v>
      </c>
      <c r="J190" s="85">
        <v>0</v>
      </c>
      <c r="K190" s="85">
        <v>5</v>
      </c>
      <c r="L190" s="85">
        <v>0</v>
      </c>
      <c r="M190" s="85">
        <v>0</v>
      </c>
      <c r="N190" s="85">
        <v>0</v>
      </c>
      <c r="O190" s="85">
        <v>0</v>
      </c>
      <c r="P190" s="85">
        <v>0</v>
      </c>
      <c r="Q190" s="85">
        <v>0</v>
      </c>
      <c r="R190" s="85">
        <v>0</v>
      </c>
      <c r="S190" s="85">
        <v>0</v>
      </c>
      <c r="T190" s="85">
        <f t="shared" si="75"/>
        <v>5</v>
      </c>
      <c r="U190" s="89"/>
      <c r="V190" s="89">
        <f t="shared" si="59"/>
        <v>0.54381149645257654</v>
      </c>
      <c r="W190" s="89">
        <f t="shared" si="71"/>
        <v>0</v>
      </c>
      <c r="X190" s="89">
        <f t="shared" si="76"/>
        <v>0</v>
      </c>
      <c r="Y190" s="89">
        <f t="shared" si="67"/>
        <v>0</v>
      </c>
      <c r="Z190" s="89">
        <f t="shared" si="72"/>
        <v>0</v>
      </c>
      <c r="AA190" s="89">
        <f t="shared" si="60"/>
        <v>0</v>
      </c>
      <c r="AB190" s="89">
        <f t="shared" si="73"/>
        <v>10.435305059523809</v>
      </c>
      <c r="AC190" s="89">
        <f t="shared" si="61"/>
        <v>2.2315107347648393</v>
      </c>
      <c r="AD190" s="89">
        <f t="shared" si="62"/>
        <v>9.2263814520508731</v>
      </c>
      <c r="AE190" s="89">
        <f t="shared" si="63"/>
        <v>0</v>
      </c>
      <c r="AF190" s="89">
        <f t="shared" si="64"/>
        <v>0</v>
      </c>
      <c r="AG190" s="89">
        <f t="shared" si="65"/>
        <v>0</v>
      </c>
      <c r="AH190" s="89">
        <f t="shared" si="66"/>
        <v>0</v>
      </c>
      <c r="AI190" s="89">
        <v>0</v>
      </c>
      <c r="AJ190" s="89"/>
      <c r="AK190" s="89">
        <v>0</v>
      </c>
      <c r="AL190" s="175">
        <f t="shared" si="77"/>
        <v>22.437008742792099</v>
      </c>
      <c r="AM190" s="313"/>
      <c r="AN190" s="170"/>
      <c r="AO190" s="121"/>
      <c r="AP190" s="121"/>
      <c r="AQ190" s="121"/>
      <c r="AR190" s="120"/>
    </row>
    <row r="191" spans="1:47" ht="23.25">
      <c r="A191" s="121"/>
      <c r="B191" s="303"/>
      <c r="C191" s="85">
        <v>36</v>
      </c>
      <c r="D191" s="85" t="s">
        <v>520</v>
      </c>
      <c r="E191" s="151" t="s">
        <v>156</v>
      </c>
      <c r="F191" s="85">
        <f>IF(AP171="Cryo DMSO", 0, 1)</f>
        <v>1</v>
      </c>
      <c r="G191" s="85">
        <v>0</v>
      </c>
      <c r="H191" s="85">
        <v>0</v>
      </c>
      <c r="I191" s="85">
        <v>0</v>
      </c>
      <c r="J191" s="85">
        <v>0</v>
      </c>
      <c r="K191" s="85">
        <f>2*(K189+K188)</f>
        <v>14.237500000000001</v>
      </c>
      <c r="L191" s="85">
        <v>0</v>
      </c>
      <c r="M191" s="85">
        <v>0</v>
      </c>
      <c r="N191" s="85">
        <v>0</v>
      </c>
      <c r="O191" s="85">
        <v>0</v>
      </c>
      <c r="P191" s="85">
        <v>0</v>
      </c>
      <c r="Q191" s="85">
        <v>0</v>
      </c>
      <c r="R191" s="85">
        <v>0</v>
      </c>
      <c r="S191" s="85">
        <v>0</v>
      </c>
      <c r="T191" s="85">
        <f t="shared" si="75"/>
        <v>14.237500000000001</v>
      </c>
      <c r="U191" s="89"/>
      <c r="V191" s="89">
        <f t="shared" si="59"/>
        <v>1.5485032361487119</v>
      </c>
      <c r="W191" s="89">
        <f t="shared" si="71"/>
        <v>0</v>
      </c>
      <c r="X191" s="89">
        <f t="shared" si="76"/>
        <v>0</v>
      </c>
      <c r="Y191" s="89">
        <f t="shared" si="67"/>
        <v>0</v>
      </c>
      <c r="Z191" s="89">
        <f t="shared" si="72"/>
        <v>0</v>
      </c>
      <c r="AA191" s="89">
        <f t="shared" si="60"/>
        <v>0</v>
      </c>
      <c r="AB191" s="89">
        <f t="shared" si="73"/>
        <v>29.714531156994049</v>
      </c>
      <c r="AC191" s="89">
        <f t="shared" si="61"/>
        <v>0</v>
      </c>
      <c r="AD191" s="89">
        <f t="shared" si="62"/>
        <v>26.272121184714862</v>
      </c>
      <c r="AE191" s="89">
        <f t="shared" si="63"/>
        <v>0</v>
      </c>
      <c r="AF191" s="89">
        <f t="shared" si="64"/>
        <v>0</v>
      </c>
      <c r="AG191" s="89">
        <f t="shared" si="65"/>
        <v>0</v>
      </c>
      <c r="AH191" s="89">
        <f t="shared" si="66"/>
        <v>0</v>
      </c>
      <c r="AI191" s="89">
        <v>0</v>
      </c>
      <c r="AJ191" s="89"/>
      <c r="AK191" s="89">
        <v>0</v>
      </c>
      <c r="AL191" s="175">
        <f t="shared" si="77"/>
        <v>57.535155577857623</v>
      </c>
      <c r="AM191" s="313"/>
      <c r="AN191" s="170"/>
      <c r="AO191" s="121"/>
      <c r="AP191" s="121"/>
      <c r="AQ191" s="121"/>
      <c r="AR191" s="120"/>
    </row>
    <row r="192" spans="1:47" ht="23.25">
      <c r="A192" s="121"/>
      <c r="B192" s="303"/>
      <c r="C192" s="85">
        <v>37</v>
      </c>
      <c r="D192" s="85" t="s">
        <v>521</v>
      </c>
      <c r="E192" s="151" t="s">
        <v>148</v>
      </c>
      <c r="F192" s="85">
        <f>IF(AP168="yes", 1, 0)</f>
        <v>0</v>
      </c>
      <c r="G192" s="85">
        <v>0</v>
      </c>
      <c r="H192" s="85">
        <v>0</v>
      </c>
      <c r="I192" s="85">
        <v>0</v>
      </c>
      <c r="J192" s="85">
        <v>0</v>
      </c>
      <c r="K192" s="85">
        <v>5.6</v>
      </c>
      <c r="L192" s="85">
        <v>0</v>
      </c>
      <c r="M192" s="85">
        <v>0</v>
      </c>
      <c r="N192" s="85">
        <v>0</v>
      </c>
      <c r="O192" s="85">
        <v>0</v>
      </c>
      <c r="P192" s="85">
        <v>0</v>
      </c>
      <c r="Q192" s="85">
        <v>0</v>
      </c>
      <c r="R192" s="85">
        <v>0</v>
      </c>
      <c r="S192" s="85">
        <v>0</v>
      </c>
      <c r="T192" s="85">
        <f t="shared" si="75"/>
        <v>0</v>
      </c>
      <c r="U192" s="89"/>
      <c r="V192" s="89">
        <f t="shared" si="59"/>
        <v>0</v>
      </c>
      <c r="W192" s="89">
        <f t="shared" si="71"/>
        <v>0</v>
      </c>
      <c r="X192" s="89">
        <f t="shared" si="76"/>
        <v>0</v>
      </c>
      <c r="Y192" s="89">
        <f t="shared" si="67"/>
        <v>0</v>
      </c>
      <c r="Z192" s="89">
        <f t="shared" si="72"/>
        <v>0</v>
      </c>
      <c r="AA192" s="89">
        <f t="shared" si="60"/>
        <v>0</v>
      </c>
      <c r="AB192" s="89">
        <f t="shared" si="73"/>
        <v>0</v>
      </c>
      <c r="AC192" s="89">
        <f t="shared" si="61"/>
        <v>0</v>
      </c>
      <c r="AD192" s="89">
        <f t="shared" si="62"/>
        <v>0</v>
      </c>
      <c r="AE192" s="89">
        <f t="shared" si="63"/>
        <v>0</v>
      </c>
      <c r="AF192" s="89">
        <f t="shared" si="64"/>
        <v>0</v>
      </c>
      <c r="AG192" s="89">
        <f t="shared" si="65"/>
        <v>0</v>
      </c>
      <c r="AH192" s="89">
        <f t="shared" si="66"/>
        <v>0</v>
      </c>
      <c r="AI192" s="89">
        <v>0</v>
      </c>
      <c r="AJ192" s="89"/>
      <c r="AK192" s="89">
        <v>0</v>
      </c>
      <c r="AL192" s="175">
        <f t="shared" si="77"/>
        <v>0</v>
      </c>
      <c r="AM192" s="313"/>
      <c r="AN192" s="170"/>
      <c r="AO192" s="121"/>
      <c r="AP192" s="121"/>
      <c r="AQ192" s="121"/>
      <c r="AR192" s="120"/>
    </row>
    <row r="193" spans="1:52" ht="23.25">
      <c r="A193" s="121"/>
      <c r="B193" s="303"/>
      <c r="C193" s="85">
        <v>38</v>
      </c>
      <c r="D193" s="85" t="s">
        <v>102</v>
      </c>
      <c r="E193" s="151" t="s">
        <v>152</v>
      </c>
      <c r="F193" s="85">
        <f>IF(AP168="failed", 1, 0)</f>
        <v>0</v>
      </c>
      <c r="G193" s="85">
        <v>0</v>
      </c>
      <c r="H193" s="85">
        <v>0</v>
      </c>
      <c r="I193" s="85">
        <v>30</v>
      </c>
      <c r="J193" s="85">
        <v>30</v>
      </c>
      <c r="K193" s="85">
        <v>0</v>
      </c>
      <c r="L193" s="85">
        <v>0</v>
      </c>
      <c r="M193" s="85">
        <v>0</v>
      </c>
      <c r="N193" s="85">
        <v>0</v>
      </c>
      <c r="O193" s="85">
        <v>0</v>
      </c>
      <c r="P193" s="85">
        <v>0</v>
      </c>
      <c r="Q193" s="85">
        <v>0</v>
      </c>
      <c r="R193" s="85">
        <v>0</v>
      </c>
      <c r="S193" s="85">
        <v>0</v>
      </c>
      <c r="T193" s="85">
        <f t="shared" si="75"/>
        <v>0</v>
      </c>
      <c r="U193" s="89"/>
      <c r="V193" s="89">
        <f t="shared" si="59"/>
        <v>0</v>
      </c>
      <c r="W193" s="89">
        <f t="shared" si="71"/>
        <v>0</v>
      </c>
      <c r="X193" s="89">
        <f t="shared" si="76"/>
        <v>0</v>
      </c>
      <c r="Y193" s="89">
        <f t="shared" si="67"/>
        <v>0</v>
      </c>
      <c r="Z193" s="89">
        <f t="shared" si="72"/>
        <v>0</v>
      </c>
      <c r="AA193" s="89">
        <f t="shared" si="60"/>
        <v>0</v>
      </c>
      <c r="AB193" s="89">
        <f t="shared" si="73"/>
        <v>0</v>
      </c>
      <c r="AC193" s="89">
        <f t="shared" si="61"/>
        <v>0</v>
      </c>
      <c r="AD193" s="89">
        <f t="shared" si="62"/>
        <v>0</v>
      </c>
      <c r="AE193" s="89">
        <f t="shared" si="63"/>
        <v>0</v>
      </c>
      <c r="AF193" s="89">
        <f t="shared" si="64"/>
        <v>0</v>
      </c>
      <c r="AG193" s="89">
        <f t="shared" si="65"/>
        <v>0</v>
      </c>
      <c r="AH193" s="89">
        <f t="shared" si="66"/>
        <v>0</v>
      </c>
      <c r="AI193" s="89">
        <v>0</v>
      </c>
      <c r="AJ193" s="89"/>
      <c r="AK193" s="89">
        <v>0</v>
      </c>
      <c r="AL193" s="175">
        <f t="shared" si="77"/>
        <v>0</v>
      </c>
      <c r="AM193" s="313"/>
      <c r="AN193" s="170"/>
      <c r="AO193" s="121"/>
      <c r="AP193" s="121"/>
      <c r="AQ193" s="121"/>
      <c r="AR193" s="120"/>
    </row>
    <row r="194" spans="1:52" ht="23.25">
      <c r="A194" s="121"/>
      <c r="B194" s="303"/>
      <c r="C194" s="85">
        <v>40</v>
      </c>
      <c r="D194" s="85" t="s">
        <v>523</v>
      </c>
      <c r="E194" s="151" t="s">
        <v>212</v>
      </c>
      <c r="F194" s="85">
        <f>IF($AP$87="failed", 0, 1)</f>
        <v>1</v>
      </c>
      <c r="G194" s="85">
        <v>30</v>
      </c>
      <c r="H194" s="85">
        <v>0</v>
      </c>
      <c r="I194" s="85">
        <v>30</v>
      </c>
      <c r="J194" s="85">
        <v>60</v>
      </c>
      <c r="K194" s="85">
        <v>34.9</v>
      </c>
      <c r="L194" s="85">
        <v>0</v>
      </c>
      <c r="M194" s="85">
        <v>0</v>
      </c>
      <c r="N194" s="85">
        <v>0</v>
      </c>
      <c r="O194" s="85">
        <v>0</v>
      </c>
      <c r="P194" s="85">
        <v>0</v>
      </c>
      <c r="Q194" s="85">
        <v>0</v>
      </c>
      <c r="R194" s="85">
        <v>0</v>
      </c>
      <c r="S194" s="85">
        <v>0</v>
      </c>
      <c r="T194" s="85">
        <f t="shared" si="75"/>
        <v>124.9</v>
      </c>
      <c r="U194" s="89"/>
      <c r="V194" s="89">
        <f t="shared" si="59"/>
        <v>13.584411181385363</v>
      </c>
      <c r="W194" s="89">
        <f t="shared" si="71"/>
        <v>0</v>
      </c>
      <c r="X194" s="89">
        <f t="shared" si="76"/>
        <v>32.299999999999997</v>
      </c>
      <c r="Y194" s="89">
        <f t="shared" si="67"/>
        <v>50.212500000000006</v>
      </c>
      <c r="Z194" s="89">
        <f t="shared" si="72"/>
        <v>18.626046418116754</v>
      </c>
      <c r="AA194" s="89">
        <f t="shared" si="60"/>
        <v>0</v>
      </c>
      <c r="AB194" s="89">
        <f t="shared" si="73"/>
        <v>72.838429315476191</v>
      </c>
      <c r="AC194" s="89">
        <f t="shared" si="61"/>
        <v>0</v>
      </c>
      <c r="AD194" s="89">
        <f t="shared" si="62"/>
        <v>64.400142535315084</v>
      </c>
      <c r="AE194" s="89">
        <f t="shared" si="63"/>
        <v>0</v>
      </c>
      <c r="AF194" s="89">
        <f t="shared" si="64"/>
        <v>0</v>
      </c>
      <c r="AG194" s="89">
        <f t="shared" si="65"/>
        <v>0</v>
      </c>
      <c r="AH194" s="89">
        <f t="shared" si="66"/>
        <v>0</v>
      </c>
      <c r="AI194" s="89">
        <f>inputs!$E$47*F194</f>
        <v>42.026833333333336</v>
      </c>
      <c r="AJ194" s="89"/>
      <c r="AK194" s="89">
        <v>0</v>
      </c>
      <c r="AL194" s="188">
        <f t="shared" si="77"/>
        <v>293.98836278362671</v>
      </c>
      <c r="AM194" s="201" t="s">
        <v>73</v>
      </c>
      <c r="AN194" s="170"/>
      <c r="AO194" s="181"/>
      <c r="AP194" s="121"/>
      <c r="AQ194" s="121"/>
      <c r="AR194" s="120"/>
    </row>
    <row r="195" spans="1:52" ht="23.25">
      <c r="A195" s="121"/>
      <c r="B195" s="303"/>
      <c r="C195" s="85">
        <v>41</v>
      </c>
      <c r="D195" s="85" t="s">
        <v>524</v>
      </c>
      <c r="E195" s="151" t="s">
        <v>230</v>
      </c>
      <c r="F195" s="85">
        <f>IF(AP170&gt;1, 1, 0)</f>
        <v>1</v>
      </c>
      <c r="G195" s="85">
        <v>0</v>
      </c>
      <c r="H195" s="85">
        <v>0</v>
      </c>
      <c r="I195" s="85">
        <v>0</v>
      </c>
      <c r="J195" s="85">
        <v>0</v>
      </c>
      <c r="K195" s="85">
        <v>12</v>
      </c>
      <c r="L195" s="85">
        <v>0</v>
      </c>
      <c r="M195" s="85">
        <v>0</v>
      </c>
      <c r="N195" s="85">
        <v>0</v>
      </c>
      <c r="O195" s="85">
        <v>0</v>
      </c>
      <c r="P195" s="85">
        <v>0</v>
      </c>
      <c r="Q195" s="85">
        <v>0</v>
      </c>
      <c r="R195" s="85">
        <v>0</v>
      </c>
      <c r="S195" s="85">
        <v>0</v>
      </c>
      <c r="T195" s="85">
        <f t="shared" si="75"/>
        <v>12</v>
      </c>
      <c r="U195" s="89"/>
      <c r="V195" s="89">
        <f t="shared" si="59"/>
        <v>1.3051475914861839</v>
      </c>
      <c r="W195" s="89">
        <f t="shared" si="71"/>
        <v>0</v>
      </c>
      <c r="X195" s="89">
        <f t="shared" si="76"/>
        <v>0</v>
      </c>
      <c r="Y195" s="89">
        <f t="shared" si="67"/>
        <v>0</v>
      </c>
      <c r="Z195" s="89">
        <f t="shared" si="72"/>
        <v>0</v>
      </c>
      <c r="AA195" s="89">
        <f t="shared" si="60"/>
        <v>0</v>
      </c>
      <c r="AB195" s="89">
        <f t="shared" si="73"/>
        <v>25.044732142857143</v>
      </c>
      <c r="AC195" s="89">
        <f t="shared" si="61"/>
        <v>0</v>
      </c>
      <c r="AD195" s="89">
        <f t="shared" si="62"/>
        <v>22.143315484922095</v>
      </c>
      <c r="AE195" s="89">
        <f t="shared" si="63"/>
        <v>0</v>
      </c>
      <c r="AF195" s="89">
        <f t="shared" si="64"/>
        <v>11.257510060606062</v>
      </c>
      <c r="AG195" s="89">
        <f t="shared" si="65"/>
        <v>0</v>
      </c>
      <c r="AH195" s="89">
        <f t="shared" si="66"/>
        <v>0</v>
      </c>
      <c r="AI195" s="89">
        <v>0</v>
      </c>
      <c r="AJ195" s="89"/>
      <c r="AK195" s="89">
        <v>0</v>
      </c>
      <c r="AL195" s="189">
        <f t="shared" si="77"/>
        <v>59.750705279871482</v>
      </c>
      <c r="AM195" s="292" t="s">
        <v>369</v>
      </c>
      <c r="AN195" s="170"/>
      <c r="AO195" s="121"/>
      <c r="AP195" s="121"/>
      <c r="AQ195" s="121"/>
      <c r="AR195" s="120"/>
    </row>
    <row r="196" spans="1:52" ht="23.25">
      <c r="A196" s="121"/>
      <c r="B196" s="303"/>
      <c r="C196" s="85">
        <v>42</v>
      </c>
      <c r="D196" s="85" t="s">
        <v>525</v>
      </c>
      <c r="E196" s="151" t="s">
        <v>158</v>
      </c>
      <c r="F196" s="85">
        <f>IF(OR((AP169="Cryo DMSO"), (AP169="Cryo Blasto")), 1, 0)</f>
        <v>1</v>
      </c>
      <c r="G196" s="85">
        <v>0</v>
      </c>
      <c r="H196" s="85">
        <v>0</v>
      </c>
      <c r="I196" s="85">
        <v>0</v>
      </c>
      <c r="J196" s="85">
        <v>0</v>
      </c>
      <c r="K196" s="85">
        <v>31</v>
      </c>
      <c r="L196" s="85">
        <v>0</v>
      </c>
      <c r="M196" s="85">
        <v>0</v>
      </c>
      <c r="N196" s="85">
        <v>0</v>
      </c>
      <c r="O196" s="85">
        <v>0</v>
      </c>
      <c r="P196" s="85">
        <v>0</v>
      </c>
      <c r="Q196" s="85">
        <v>0</v>
      </c>
      <c r="R196" s="85">
        <v>0</v>
      </c>
      <c r="S196" s="85">
        <v>0</v>
      </c>
      <c r="T196" s="85">
        <f t="shared" si="75"/>
        <v>31</v>
      </c>
      <c r="U196" s="89"/>
      <c r="V196" s="89">
        <f t="shared" si="59"/>
        <v>3.3716312780059745</v>
      </c>
      <c r="W196" s="89">
        <f t="shared" si="71"/>
        <v>0</v>
      </c>
      <c r="X196" s="89">
        <f t="shared" si="76"/>
        <v>0</v>
      </c>
      <c r="Y196" s="89">
        <f t="shared" si="67"/>
        <v>0</v>
      </c>
      <c r="Z196" s="89">
        <f t="shared" si="72"/>
        <v>0</v>
      </c>
      <c r="AA196" s="89">
        <f t="shared" si="60"/>
        <v>0</v>
      </c>
      <c r="AB196" s="89">
        <f t="shared" si="73"/>
        <v>64.698891369047615</v>
      </c>
      <c r="AC196" s="89">
        <f t="shared" si="61"/>
        <v>13.835366555542002</v>
      </c>
      <c r="AD196" s="89">
        <f t="shared" si="62"/>
        <v>0</v>
      </c>
      <c r="AE196" s="89">
        <f t="shared" si="63"/>
        <v>0</v>
      </c>
      <c r="AF196" s="89">
        <f>(IF(ISNUMBER(SEARCH("CCR10", E196)),K196*$AF$3, 0))*F196</f>
        <v>29.08190098989899</v>
      </c>
      <c r="AG196" s="89">
        <f t="shared" si="65"/>
        <v>0</v>
      </c>
      <c r="AH196" s="89">
        <f t="shared" si="66"/>
        <v>0</v>
      </c>
      <c r="AI196" s="89">
        <v>0</v>
      </c>
      <c r="AJ196" s="89"/>
      <c r="AK196" s="89">
        <v>0</v>
      </c>
      <c r="AL196" s="189">
        <f t="shared" si="77"/>
        <v>110.9877901924946</v>
      </c>
      <c r="AM196" s="292"/>
      <c r="AN196" s="170"/>
      <c r="AO196" s="121"/>
      <c r="AP196" s="121"/>
      <c r="AQ196" s="121"/>
      <c r="AR196" s="120"/>
    </row>
    <row r="197" spans="1:52" ht="24" thickBot="1">
      <c r="A197" s="121"/>
      <c r="B197" s="303"/>
      <c r="C197" s="85">
        <v>43</v>
      </c>
      <c r="D197" s="85" t="s">
        <v>526</v>
      </c>
      <c r="E197" s="151" t="s">
        <v>158</v>
      </c>
      <c r="F197" s="85">
        <f>IF(AP169="Vitri", 1,0)</f>
        <v>0</v>
      </c>
      <c r="G197" s="85">
        <v>0</v>
      </c>
      <c r="H197" s="85">
        <v>0</v>
      </c>
      <c r="I197" s="85">
        <v>0</v>
      </c>
      <c r="J197" s="85">
        <v>0</v>
      </c>
      <c r="K197" s="85">
        <v>27.6</v>
      </c>
      <c r="L197" s="85">
        <v>0</v>
      </c>
      <c r="M197" s="85">
        <v>0</v>
      </c>
      <c r="N197" s="85">
        <v>0</v>
      </c>
      <c r="O197" s="85">
        <v>0</v>
      </c>
      <c r="P197" s="85">
        <v>0</v>
      </c>
      <c r="Q197" s="85">
        <v>0</v>
      </c>
      <c r="R197" s="85">
        <v>0</v>
      </c>
      <c r="S197" s="85">
        <v>0</v>
      </c>
      <c r="T197" s="85">
        <f t="shared" si="75"/>
        <v>0</v>
      </c>
      <c r="U197" s="89"/>
      <c r="V197" s="89">
        <f t="shared" si="59"/>
        <v>0</v>
      </c>
      <c r="W197" s="89">
        <f t="shared" si="71"/>
        <v>0</v>
      </c>
      <c r="X197" s="89">
        <f t="shared" si="76"/>
        <v>0</v>
      </c>
      <c r="Y197" s="89">
        <f t="shared" si="67"/>
        <v>0</v>
      </c>
      <c r="Z197" s="89">
        <f t="shared" si="72"/>
        <v>0</v>
      </c>
      <c r="AA197" s="89">
        <f t="shared" si="60"/>
        <v>0</v>
      </c>
      <c r="AB197" s="89">
        <f t="shared" si="73"/>
        <v>0</v>
      </c>
      <c r="AC197" s="89">
        <f t="shared" si="61"/>
        <v>0</v>
      </c>
      <c r="AD197" s="89">
        <f t="shared" si="62"/>
        <v>0</v>
      </c>
      <c r="AE197" s="89">
        <f t="shared" si="63"/>
        <v>0</v>
      </c>
      <c r="AF197" s="89">
        <f t="shared" si="64"/>
        <v>0</v>
      </c>
      <c r="AG197" s="89">
        <f t="shared" si="65"/>
        <v>0</v>
      </c>
      <c r="AH197" s="89">
        <f t="shared" si="66"/>
        <v>0</v>
      </c>
      <c r="AI197" s="89">
        <f>inputs!E142*F197</f>
        <v>0</v>
      </c>
      <c r="AJ197" s="89"/>
      <c r="AK197" s="89">
        <v>0</v>
      </c>
      <c r="AL197" s="189">
        <f t="shared" si="77"/>
        <v>0</v>
      </c>
      <c r="AM197" s="292"/>
      <c r="AN197" s="170"/>
      <c r="AO197" s="121"/>
      <c r="AP197" s="121"/>
      <c r="AQ197" s="121"/>
      <c r="AR197" s="120"/>
    </row>
    <row r="198" spans="1:52" ht="24" thickBot="1">
      <c r="A198" s="121"/>
      <c r="B198" s="303"/>
      <c r="C198" s="85">
        <v>44</v>
      </c>
      <c r="D198" s="85" t="s">
        <v>527</v>
      </c>
      <c r="E198" s="151" t="s">
        <v>156</v>
      </c>
      <c r="F198" s="85">
        <f>F149</f>
        <v>1</v>
      </c>
      <c r="G198" s="85">
        <v>0</v>
      </c>
      <c r="H198" s="85">
        <v>0</v>
      </c>
      <c r="I198" s="85">
        <v>0</v>
      </c>
      <c r="J198" s="85">
        <v>15</v>
      </c>
      <c r="K198" s="85">
        <v>5.6</v>
      </c>
      <c r="L198" s="85">
        <v>0</v>
      </c>
      <c r="M198" s="85">
        <v>0</v>
      </c>
      <c r="N198" s="85">
        <v>0</v>
      </c>
      <c r="O198" s="85">
        <v>0</v>
      </c>
      <c r="P198" s="85">
        <v>0</v>
      </c>
      <c r="Q198" s="85">
        <v>0</v>
      </c>
      <c r="R198" s="85">
        <v>0</v>
      </c>
      <c r="S198" s="85">
        <v>0</v>
      </c>
      <c r="T198" s="85">
        <f t="shared" si="75"/>
        <v>20.6</v>
      </c>
      <c r="U198" s="89"/>
      <c r="V198" s="89">
        <f t="shared" si="59"/>
        <v>2.2405033653846158</v>
      </c>
      <c r="W198" s="89">
        <f t="shared" si="71"/>
        <v>0</v>
      </c>
      <c r="X198" s="89">
        <f t="shared" si="76"/>
        <v>0</v>
      </c>
      <c r="Y198" s="89">
        <f t="shared" si="67"/>
        <v>12.553125000000001</v>
      </c>
      <c r="Z198" s="89">
        <f t="shared" si="72"/>
        <v>0</v>
      </c>
      <c r="AA198" s="89">
        <f t="shared" si="60"/>
        <v>0</v>
      </c>
      <c r="AB198" s="89">
        <f t="shared" si="73"/>
        <v>11.687541666666666</v>
      </c>
      <c r="AC198" s="89">
        <f t="shared" si="61"/>
        <v>0</v>
      </c>
      <c r="AD198" s="89">
        <f t="shared" si="62"/>
        <v>10.333547226296977</v>
      </c>
      <c r="AE198" s="89">
        <f t="shared" si="63"/>
        <v>0</v>
      </c>
      <c r="AF198" s="89">
        <f t="shared" si="64"/>
        <v>0</v>
      </c>
      <c r="AG198" s="89">
        <f t="shared" si="65"/>
        <v>0</v>
      </c>
      <c r="AH198" s="89">
        <f t="shared" si="66"/>
        <v>0</v>
      </c>
      <c r="AI198" s="89">
        <v>0</v>
      </c>
      <c r="AJ198" s="89"/>
      <c r="AK198" s="89">
        <v>0</v>
      </c>
      <c r="AL198" s="189">
        <f t="shared" si="77"/>
        <v>36.81471725834826</v>
      </c>
      <c r="AM198" s="292"/>
      <c r="AN198" s="170"/>
      <c r="AO198" s="120"/>
      <c r="AP198" s="120"/>
      <c r="AQ198" s="121"/>
      <c r="AR198" s="120"/>
      <c r="AX198" s="38" t="s">
        <v>378</v>
      </c>
      <c r="AY198" s="38" t="s">
        <v>380</v>
      </c>
      <c r="AZ198" s="38" t="s">
        <v>379</v>
      </c>
    </row>
    <row r="199" spans="1:52" ht="23.25">
      <c r="A199" s="121"/>
      <c r="B199" s="303"/>
      <c r="C199" s="85">
        <v>45</v>
      </c>
      <c r="D199" s="85" t="s">
        <v>529</v>
      </c>
      <c r="E199" s="151" t="s">
        <v>152</v>
      </c>
      <c r="F199" s="85">
        <f>IF(F193&gt;0, 0, 1)</f>
        <v>1</v>
      </c>
      <c r="G199" s="85">
        <v>0</v>
      </c>
      <c r="H199" s="85">
        <v>0</v>
      </c>
      <c r="I199" s="85">
        <v>30</v>
      </c>
      <c r="J199" s="85">
        <v>30</v>
      </c>
      <c r="K199" s="85">
        <v>0</v>
      </c>
      <c r="L199" s="85">
        <v>0</v>
      </c>
      <c r="M199" s="85">
        <v>0</v>
      </c>
      <c r="N199" s="85">
        <v>0</v>
      </c>
      <c r="O199" s="85">
        <v>0</v>
      </c>
      <c r="P199" s="85">
        <v>0</v>
      </c>
      <c r="Q199" s="85">
        <v>0</v>
      </c>
      <c r="R199" s="85">
        <v>0</v>
      </c>
      <c r="S199" s="85">
        <v>0</v>
      </c>
      <c r="T199" s="85">
        <f t="shared" si="75"/>
        <v>60</v>
      </c>
      <c r="U199" s="89"/>
      <c r="V199" s="89">
        <f t="shared" si="59"/>
        <v>6.5257379574309189</v>
      </c>
      <c r="W199" s="89">
        <f t="shared" si="71"/>
        <v>0</v>
      </c>
      <c r="X199" s="89">
        <f t="shared" si="76"/>
        <v>32.299999999999997</v>
      </c>
      <c r="Y199" s="89">
        <f t="shared" si="67"/>
        <v>25.106250000000003</v>
      </c>
      <c r="Z199" s="89">
        <f t="shared" si="72"/>
        <v>12.417364278744502</v>
      </c>
      <c r="AA199" s="89">
        <f t="shared" si="60"/>
        <v>0</v>
      </c>
      <c r="AB199" s="89">
        <f t="shared" si="73"/>
        <v>0</v>
      </c>
      <c r="AC199" s="89">
        <f t="shared" si="61"/>
        <v>0</v>
      </c>
      <c r="AD199" s="89">
        <f t="shared" si="62"/>
        <v>0</v>
      </c>
      <c r="AE199" s="89">
        <f t="shared" si="63"/>
        <v>0</v>
      </c>
      <c r="AF199" s="89">
        <f t="shared" si="64"/>
        <v>0</v>
      </c>
      <c r="AG199" s="89">
        <f t="shared" si="65"/>
        <v>0</v>
      </c>
      <c r="AH199" s="89">
        <f t="shared" si="66"/>
        <v>0</v>
      </c>
      <c r="AI199" s="89">
        <v>0</v>
      </c>
      <c r="AJ199" s="89"/>
      <c r="AK199" s="89">
        <f>inputs!$E$40*F199</f>
        <v>31.48</v>
      </c>
      <c r="AL199" s="155">
        <f>SUM(V199:AK199)</f>
        <v>107.82935223617542</v>
      </c>
      <c r="AM199" s="314" t="s">
        <v>461</v>
      </c>
      <c r="AN199" s="170"/>
      <c r="AO199" s="120"/>
      <c r="AP199" s="120"/>
      <c r="AQ199" s="121"/>
      <c r="AR199" s="120"/>
      <c r="AX199" s="44" t="s">
        <v>225</v>
      </c>
      <c r="AY199" s="73">
        <f>SUM(AI203:AI217)+SUM(AK203:AK217)</f>
        <v>73.506833333333333</v>
      </c>
      <c r="AZ199" s="73">
        <v>73.506833333333333</v>
      </c>
    </row>
    <row r="200" spans="1:52" ht="24" thickBot="1">
      <c r="A200" s="121"/>
      <c r="B200" s="303"/>
      <c r="C200" s="85">
        <v>46</v>
      </c>
      <c r="D200" s="85" t="s">
        <v>528</v>
      </c>
      <c r="E200" s="151" t="s">
        <v>152</v>
      </c>
      <c r="F200" s="85">
        <v>1</v>
      </c>
      <c r="G200" s="85">
        <v>0</v>
      </c>
      <c r="H200" s="85">
        <v>30</v>
      </c>
      <c r="I200" s="85">
        <v>0</v>
      </c>
      <c r="J200" s="85">
        <v>0</v>
      </c>
      <c r="K200" s="85">
        <v>0</v>
      </c>
      <c r="L200" s="85">
        <v>0</v>
      </c>
      <c r="M200" s="85">
        <v>0</v>
      </c>
      <c r="N200" s="85">
        <v>0</v>
      </c>
      <c r="O200" s="85">
        <v>0</v>
      </c>
      <c r="P200" s="85">
        <v>0</v>
      </c>
      <c r="Q200" s="85">
        <v>0</v>
      </c>
      <c r="R200" s="85">
        <v>0</v>
      </c>
      <c r="S200" s="85">
        <v>0</v>
      </c>
      <c r="T200" s="85">
        <f t="shared" si="75"/>
        <v>30</v>
      </c>
      <c r="U200" s="89"/>
      <c r="V200" s="89">
        <f t="shared" si="59"/>
        <v>3.2628689787154594</v>
      </c>
      <c r="W200" s="89">
        <f t="shared" si="71"/>
        <v>57.543749999999996</v>
      </c>
      <c r="X200" s="89">
        <f t="shared" si="76"/>
        <v>0</v>
      </c>
      <c r="Y200" s="89">
        <f t="shared" si="67"/>
        <v>0</v>
      </c>
      <c r="Z200" s="89">
        <f t="shared" si="72"/>
        <v>6.2086821393722511</v>
      </c>
      <c r="AA200" s="89">
        <f t="shared" si="60"/>
        <v>0</v>
      </c>
      <c r="AB200" s="89">
        <f t="shared" si="73"/>
        <v>0</v>
      </c>
      <c r="AC200" s="89">
        <f t="shared" si="61"/>
        <v>0</v>
      </c>
      <c r="AD200" s="89">
        <f t="shared" si="62"/>
        <v>0</v>
      </c>
      <c r="AE200" s="89">
        <f t="shared" si="63"/>
        <v>0</v>
      </c>
      <c r="AF200" s="89">
        <f t="shared" si="64"/>
        <v>0</v>
      </c>
      <c r="AG200" s="89">
        <f t="shared" si="65"/>
        <v>0</v>
      </c>
      <c r="AH200" s="89">
        <f t="shared" si="66"/>
        <v>0</v>
      </c>
      <c r="AI200" s="89">
        <v>0</v>
      </c>
      <c r="AJ200" s="89"/>
      <c r="AK200" s="89">
        <v>0</v>
      </c>
      <c r="AL200" s="156">
        <f>SUM(V200:AK200)</f>
        <v>67.015301118087706</v>
      </c>
      <c r="AM200" s="315"/>
      <c r="AN200" s="170"/>
      <c r="AO200" s="120"/>
      <c r="AP200" s="120"/>
      <c r="AQ200" s="121"/>
      <c r="AR200" s="120"/>
      <c r="AX200" s="44" t="s">
        <v>226</v>
      </c>
      <c r="AY200" s="73">
        <f>SUM(AJ203:AJ217)</f>
        <v>0</v>
      </c>
      <c r="AZ200" s="73">
        <v>18.22</v>
      </c>
    </row>
    <row r="201" spans="1:52" ht="21" thickTop="1">
      <c r="A201" s="121"/>
      <c r="B201" s="304"/>
      <c r="C201" s="15"/>
      <c r="D201" s="10"/>
      <c r="E201" s="252" t="s">
        <v>552</v>
      </c>
      <c r="F201" s="119"/>
      <c r="G201" s="253">
        <v>0</v>
      </c>
      <c r="H201" s="253">
        <f>($F190*H190)+($F191*H191)+($F192*H192)+($F193*H193)+($F194*H194)+($F195*H195)+($F196*H196)+($F197*H197)+($F198*H198)+($F199*H199)+($F200*H200)+($F189*H189)+($F188*H188)+($F187*H187)+($F186*H186)+($F185*H185)+($F184*H184)+($F183*H183)+($F182*H182)+($F181*H181)+($F180*H180)+($F179*H179)+($F178*H178)+($F177*H177)+($F176*H176)+($F175*H175)+($F174*H174)+($F173*H173)+($F172*H172)+($F171*H171)+($F170*H170)+($F169*H169)+($F168*H168)+($F167*H167)+($F166*H166)+($F165*H165)+($F164*H164)+($F163*H163)+$F162*H162+$F161*H161+$F160*H160+$F159*H159+$F158*H158+$F157*H157</f>
        <v>30</v>
      </c>
      <c r="I201" s="253">
        <f>($F190*I190)+($F191*I191)+($F192*I192)+($F193*I193)+($F194*I194)+($F195*I195)+($F196*I196)+($F197*I197)+($F198*I198)+($F199*I199)+($F200*I200)+($F189*I189)+($F188*I188)+($F187*I187)+($F186*I186)+($F185*I185)+($F184*I184)+($F183*I183)+($F182*I182)+($F181*I181)+($F180*I180)+($F179*I179)+($F178*I178)+($F177*I177)+($F176*I176)+($F175*I175)+($F174*I174)+($F173*I173)+($F172*I172)+($F171*I171)+($F170*I170)+($F169*I169)+($F168*I168)+($F167*I167)+($F166*I166)+($F165*I165)+($F164*I164)+($F163*I163)+$F162*I162+$F161*I161+$F160*I160+$F159*I159+$F158*I158+$F157*I157</f>
        <v>190</v>
      </c>
      <c r="J201" s="253">
        <f>($F190*J190)+($F191*J191)+($F192*J192)+($F193*J193)+($F194*J194)+($F195*J195)+($F196*J196)+($F197*J197)+($F198*J198)+($F199*J199)+($F200*J200)+($F189*J189)+($F188*J188)+($F187*J187)+($F186*J186)+($F185*J185)+($F184*J184)+($F183*J183)+($F182*J182)+($F181*J181)+($F180*J180)+($F179*J179)+($F178*J178)+($F177*J177)+($F176*J176)+($F175*J175)+($F174*J174)+($F173*J173)+($F172*J172)+($F171*J171)+($F170*J170)+($F169*J169)+($F168*J168)+($F167*J167)+($F166*J166)+($F165*J165)+($F164*J164)+($F163*J163)+$F162*J162+$F161*J161+$F160*J160+$F159*J159+$F158*J158+$F157*J157</f>
        <v>345</v>
      </c>
      <c r="K201" s="253">
        <f>($F190*K190)+($F191*K191)+($F192*K192)+($F193*K193)+($F194*K194)+($F195*K195)+($F196*K196)+($F197*K197)+($F198*K198)+($F199*K199)+($F200*K200)+($F189*K189)+($F188*K188)+($F187*K187)+($F186*K186)+($F185*K185)+($F184*K184)+($F183*K183)+($F182*K182)+($F181*K181)+($F180*K180)+($F179*K179)+($F178*K178)+($F177*K177)+($F176*K176)+($F175*K175)+($F174*K174)+($F173*K173)+($F172*K172)+($F171*K171)+($F170*K170)+($F169*K169)+($F168*K168)+($F167*K167)+($F166*K166)+($F165*K165)+($F164*K164)+($F163*K163)+$F162*K162+$F161*K161+$F160*K160+$F159*K159+$F158*K158+$F157*K157</f>
        <v>444.89558559577677</v>
      </c>
      <c r="L201" s="253">
        <f>($F190*L190)+($F191*L191)+($F192*L192)+($F193*L193)+($F194*L194)+($F195*L195)+($F196*L196)+($F197*L197)+($F198*L198)+($F199*L199)+($F200*L200)+($F189*L189)+($F188*L188)+($F187*L187)+($F186*L186)+($F185*L185)+($F184*L184)+($F183*L183)+($F182*L182)+($F181*L181)+($F180*L180)+($F179*L179)+($F178*L178)+($F177*L177)+($F176*L176)+($F175*L175)+($F174*L174)+($F173*L173)+($F172*L172)+($F171*L171)+($F170*L170)+($F169*L169)+($F168*L168)+($F167*L167)+($F166*L166)+($F165*L165)+($F164*L164)+($F163*L163)+$F162*L162+$F161*L161+$F160*L160+$F159*L159+$F158*L158+$F157*L157</f>
        <v>0</v>
      </c>
      <c r="M201" s="253">
        <f t="shared" ref="M201:S201" si="78">($F190*M190)+($F191*M191)+($F192*M192)+($F193*M193)+($F194*M194)+($F195*M195)+($F196*M196)+($F197*M197)+($F198*M198)+($F199*M199)+($F200*M200)+($F189*M189)+($F188*M188)+($F187*M187)+($F186*M186)+($F185*M185)+($F184*M184)+($F183*M183)+($F182*M182)+($F181*M181)+($F180*M180)+($F179*M179)+($F178*M178)+($F177*M177)+($F176*M176)+($F175*M175)+($F174*M174)+($F173*M173)+($F172*M172)+($F171*M171)+($F170*M170)+($F169*M169)+($F168*M168)+($F167*M167)+($F166*M166)+($F165*M165)+($F164*M164)+($F163*M163)+$F162*M162+$F161*M161+$F160*M160+$F159*M159+$F158*M158+$F157*M157</f>
        <v>0</v>
      </c>
      <c r="N201" s="253">
        <f t="shared" si="78"/>
        <v>0</v>
      </c>
      <c r="O201" s="253">
        <f t="shared" si="78"/>
        <v>0</v>
      </c>
      <c r="P201" s="253">
        <f t="shared" si="78"/>
        <v>0</v>
      </c>
      <c r="Q201" s="253">
        <f t="shared" si="78"/>
        <v>60</v>
      </c>
      <c r="R201" s="253">
        <f t="shared" si="78"/>
        <v>0</v>
      </c>
      <c r="S201" s="253">
        <f t="shared" si="78"/>
        <v>0</v>
      </c>
      <c r="T201" s="253">
        <f t="shared" ref="T201:AL201" si="79">SUM(T157:T200)</f>
        <v>1069.8955855957765</v>
      </c>
      <c r="U201" s="253">
        <f t="shared" si="79"/>
        <v>0</v>
      </c>
      <c r="V201" s="253">
        <f t="shared" si="79"/>
        <v>116.36430389016903</v>
      </c>
      <c r="W201" s="253">
        <f t="shared" si="79"/>
        <v>57.543749999999996</v>
      </c>
      <c r="X201" s="253">
        <f t="shared" si="79"/>
        <v>204.56666666666666</v>
      </c>
      <c r="Y201" s="253">
        <f t="shared" si="79"/>
        <v>288.72187500000007</v>
      </c>
      <c r="Z201" s="253">
        <f t="shared" si="79"/>
        <v>91.060671377459698</v>
      </c>
      <c r="AA201" s="253">
        <f t="shared" si="79"/>
        <v>0</v>
      </c>
      <c r="AB201" s="253">
        <f t="shared" si="79"/>
        <v>928.52423106548349</v>
      </c>
      <c r="AC201" s="253">
        <f t="shared" si="79"/>
        <v>156.27351598591781</v>
      </c>
      <c r="AD201" s="253">
        <f t="shared" si="79"/>
        <v>424.18234313810706</v>
      </c>
      <c r="AE201" s="253">
        <f t="shared" si="79"/>
        <v>180.26579977536608</v>
      </c>
      <c r="AF201" s="253">
        <f t="shared" si="79"/>
        <v>40.339411050505049</v>
      </c>
      <c r="AG201" s="253">
        <f t="shared" si="79"/>
        <v>0</v>
      </c>
      <c r="AH201" s="253">
        <f t="shared" si="79"/>
        <v>0</v>
      </c>
      <c r="AI201" s="253">
        <f t="shared" si="79"/>
        <v>88.502933333333345</v>
      </c>
      <c r="AJ201" s="253">
        <f t="shared" si="79"/>
        <v>526.80571428571432</v>
      </c>
      <c r="AK201" s="253">
        <f t="shared" si="79"/>
        <v>58.34</v>
      </c>
      <c r="AL201" s="143">
        <f t="shared" si="79"/>
        <v>3161.4912155687216</v>
      </c>
      <c r="AM201" s="120"/>
      <c r="AN201" s="180"/>
      <c r="AO201" s="120"/>
      <c r="AP201" s="120"/>
      <c r="AQ201" s="121"/>
      <c r="AR201" s="120"/>
      <c r="AX201" s="44"/>
      <c r="AY201" s="73"/>
      <c r="AZ201" s="73"/>
    </row>
    <row r="202" spans="1:52" ht="21" thickBot="1">
      <c r="A202" s="121"/>
      <c r="B202" s="120"/>
      <c r="C202" s="120"/>
      <c r="D202" s="120"/>
      <c r="E202" s="120"/>
      <c r="F202" s="120"/>
      <c r="G202" s="120"/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  <c r="X202" s="120"/>
      <c r="Y202" s="120"/>
      <c r="Z202" s="120"/>
      <c r="AA202" s="120"/>
      <c r="AB202" s="120"/>
      <c r="AC202" s="120"/>
      <c r="AD202" s="120"/>
      <c r="AE202" s="120"/>
      <c r="AF202" s="120"/>
      <c r="AG202" s="120"/>
      <c r="AH202" s="120"/>
      <c r="AI202" s="120"/>
      <c r="AJ202" s="120"/>
      <c r="AK202" s="120"/>
      <c r="AL202" s="120"/>
      <c r="AM202" s="120"/>
      <c r="AN202" s="120"/>
      <c r="AO202" s="120"/>
      <c r="AP202" s="120"/>
      <c r="AQ202" s="120"/>
      <c r="AR202" s="120"/>
      <c r="AX202" s="44"/>
      <c r="AY202" s="73"/>
      <c r="AZ202" s="73"/>
    </row>
    <row r="203" spans="1:52" ht="24" customHeight="1" thickBot="1">
      <c r="A203" s="121"/>
      <c r="B203" s="316" t="s">
        <v>348</v>
      </c>
      <c r="C203" s="83">
        <v>1</v>
      </c>
      <c r="D203" s="83" t="s">
        <v>500</v>
      </c>
      <c r="E203" s="150" t="s">
        <v>55</v>
      </c>
      <c r="F203" s="83">
        <v>1</v>
      </c>
      <c r="G203" s="83">
        <v>10</v>
      </c>
      <c r="H203" s="83">
        <v>0</v>
      </c>
      <c r="I203" s="83">
        <v>0</v>
      </c>
      <c r="J203" s="83">
        <v>15</v>
      </c>
      <c r="K203" s="83">
        <v>15</v>
      </c>
      <c r="L203" s="83">
        <v>0</v>
      </c>
      <c r="M203" s="83">
        <v>0</v>
      </c>
      <c r="N203" s="83">
        <v>0</v>
      </c>
      <c r="O203" s="83">
        <v>0</v>
      </c>
      <c r="P203" s="83">
        <v>0</v>
      </c>
      <c r="Q203" s="83">
        <v>0</v>
      </c>
      <c r="R203" s="83">
        <v>0</v>
      </c>
      <c r="S203" s="83">
        <v>0</v>
      </c>
      <c r="T203" s="83">
        <f t="shared" si="36"/>
        <v>30</v>
      </c>
      <c r="U203" s="88"/>
      <c r="V203" s="88">
        <f t="shared" si="59"/>
        <v>3.2628689787154594</v>
      </c>
      <c r="W203" s="88">
        <f t="shared" si="71"/>
        <v>0</v>
      </c>
      <c r="X203" s="88">
        <f>I203*$X$3*F203</f>
        <v>0</v>
      </c>
      <c r="Y203" s="88">
        <f t="shared" si="67"/>
        <v>12.553125000000001</v>
      </c>
      <c r="Z203" s="88">
        <f t="shared" si="72"/>
        <v>0</v>
      </c>
      <c r="AA203" s="88">
        <f t="shared" si="60"/>
        <v>0</v>
      </c>
      <c r="AB203" s="88">
        <f t="shared" si="73"/>
        <v>31.305915178571428</v>
      </c>
      <c r="AC203" s="88">
        <f t="shared" si="61"/>
        <v>0</v>
      </c>
      <c r="AD203" s="88">
        <f t="shared" si="62"/>
        <v>0</v>
      </c>
      <c r="AE203" s="88">
        <f t="shared" si="63"/>
        <v>0</v>
      </c>
      <c r="AF203" s="88">
        <f t="shared" si="64"/>
        <v>0</v>
      </c>
      <c r="AG203" s="88">
        <f t="shared" si="65"/>
        <v>0</v>
      </c>
      <c r="AH203" s="88">
        <f t="shared" si="66"/>
        <v>0</v>
      </c>
      <c r="AI203" s="88">
        <v>0</v>
      </c>
      <c r="AJ203" s="88"/>
      <c r="AK203" s="88">
        <v>0</v>
      </c>
      <c r="AL203" s="174">
        <f>SUM(V203:AK203)*F203</f>
        <v>47.121909157286893</v>
      </c>
      <c r="AM203" s="120"/>
      <c r="AN203" s="120"/>
      <c r="AO203" s="138"/>
      <c r="AP203" s="138"/>
      <c r="AQ203" s="138"/>
      <c r="AR203" s="120"/>
      <c r="AT203" s="38" t="s">
        <v>194</v>
      </c>
      <c r="AU203" s="39" t="s">
        <v>174</v>
      </c>
      <c r="AX203" s="44" t="s">
        <v>205</v>
      </c>
      <c r="AY203" s="73" t="e">
        <f>SUM(V203:V217)</f>
        <v>#REF!</v>
      </c>
      <c r="AZ203" s="73">
        <v>45.176907005727898</v>
      </c>
    </row>
    <row r="204" spans="1:52" ht="23.25">
      <c r="A204" s="121"/>
      <c r="B204" s="317"/>
      <c r="C204" s="85">
        <v>2</v>
      </c>
      <c r="D204" s="85" t="s">
        <v>502</v>
      </c>
      <c r="E204" s="151" t="s">
        <v>51</v>
      </c>
      <c r="F204" s="85">
        <f>IF(AP205="stimulated", 1, 0)</f>
        <v>0</v>
      </c>
      <c r="G204" s="85">
        <v>10</v>
      </c>
      <c r="H204" s="85">
        <v>0</v>
      </c>
      <c r="I204" s="85">
        <v>30</v>
      </c>
      <c r="J204" s="85">
        <v>30</v>
      </c>
      <c r="K204" s="85">
        <v>0</v>
      </c>
      <c r="L204" s="85">
        <v>0</v>
      </c>
      <c r="M204" s="85">
        <v>0</v>
      </c>
      <c r="N204" s="85">
        <v>0</v>
      </c>
      <c r="O204" s="85">
        <v>0</v>
      </c>
      <c r="P204" s="85">
        <v>0</v>
      </c>
      <c r="Q204" s="85">
        <v>0</v>
      </c>
      <c r="R204" s="85">
        <v>0</v>
      </c>
      <c r="S204" s="85">
        <v>0</v>
      </c>
      <c r="T204" s="85">
        <f t="shared" ref="T204" si="80">SUM(H204:S204)*F204</f>
        <v>0</v>
      </c>
      <c r="U204" s="89"/>
      <c r="V204" s="89">
        <f t="shared" si="59"/>
        <v>0</v>
      </c>
      <c r="W204" s="89">
        <f t="shared" si="71"/>
        <v>0</v>
      </c>
      <c r="X204" s="89">
        <f t="shared" ref="X204:X255" si="81">I204*$X$3*F204</f>
        <v>0</v>
      </c>
      <c r="Y204" s="89">
        <f t="shared" si="67"/>
        <v>0</v>
      </c>
      <c r="Z204" s="89">
        <f t="shared" si="72"/>
        <v>0</v>
      </c>
      <c r="AA204" s="89">
        <f t="shared" si="60"/>
        <v>0</v>
      </c>
      <c r="AB204" s="89">
        <f t="shared" si="73"/>
        <v>0</v>
      </c>
      <c r="AC204" s="89">
        <f t="shared" si="61"/>
        <v>0</v>
      </c>
      <c r="AD204" s="89">
        <f t="shared" si="62"/>
        <v>0</v>
      </c>
      <c r="AE204" s="89">
        <f t="shared" si="63"/>
        <v>0</v>
      </c>
      <c r="AF204" s="89">
        <f t="shared" si="64"/>
        <v>0</v>
      </c>
      <c r="AG204" s="89">
        <f t="shared" si="65"/>
        <v>0</v>
      </c>
      <c r="AH204" s="89">
        <f t="shared" si="66"/>
        <v>0</v>
      </c>
      <c r="AI204" s="89">
        <v>0</v>
      </c>
      <c r="AJ204" s="89"/>
      <c r="AK204" s="89">
        <v>0</v>
      </c>
      <c r="AL204" s="153">
        <f t="shared" ref="AL204" si="82">SUM(V204:AK204)*F204</f>
        <v>0</v>
      </c>
      <c r="AM204" s="120"/>
      <c r="AN204" s="120"/>
      <c r="AO204" s="240" t="s">
        <v>451</v>
      </c>
      <c r="AP204" s="240" t="s">
        <v>49</v>
      </c>
      <c r="AQ204" s="240" t="s">
        <v>452</v>
      </c>
      <c r="AR204" s="120"/>
      <c r="AT204" s="40" t="s">
        <v>278</v>
      </c>
      <c r="AU204" s="293" t="s">
        <v>22</v>
      </c>
      <c r="AX204" s="44" t="s">
        <v>206</v>
      </c>
      <c r="AY204" s="73">
        <f>SUM(W203:W217)</f>
        <v>0</v>
      </c>
      <c r="AZ204" s="73">
        <v>0</v>
      </c>
    </row>
    <row r="205" spans="1:52" ht="24" thickBot="1">
      <c r="A205" s="121"/>
      <c r="B205" s="317"/>
      <c r="C205" s="85">
        <v>3</v>
      </c>
      <c r="D205" s="85" t="s">
        <v>536</v>
      </c>
      <c r="E205" s="151" t="s">
        <v>52</v>
      </c>
      <c r="F205" s="85">
        <f>IF(AP205="stimulated", 1, 0)</f>
        <v>0</v>
      </c>
      <c r="G205" s="85">
        <v>30</v>
      </c>
      <c r="H205" s="85">
        <v>0</v>
      </c>
      <c r="I205" s="85">
        <v>0</v>
      </c>
      <c r="J205" s="85">
        <v>0</v>
      </c>
      <c r="K205" s="85">
        <v>0</v>
      </c>
      <c r="L205" s="85">
        <v>0</v>
      </c>
      <c r="M205" s="85">
        <v>0</v>
      </c>
      <c r="N205" s="85">
        <v>0</v>
      </c>
      <c r="O205" s="85">
        <v>0</v>
      </c>
      <c r="P205" s="85">
        <v>0</v>
      </c>
      <c r="Q205" s="85">
        <v>30</v>
      </c>
      <c r="R205" s="85">
        <v>0</v>
      </c>
      <c r="S205" s="85">
        <v>0</v>
      </c>
      <c r="T205" s="85">
        <f t="shared" si="36"/>
        <v>0</v>
      </c>
      <c r="U205" s="89"/>
      <c r="V205" s="89">
        <f t="shared" si="59"/>
        <v>0</v>
      </c>
      <c r="W205" s="89">
        <f t="shared" si="71"/>
        <v>0</v>
      </c>
      <c r="X205" s="89">
        <f t="shared" si="81"/>
        <v>0</v>
      </c>
      <c r="Y205" s="89">
        <f t="shared" si="67"/>
        <v>0</v>
      </c>
      <c r="Z205" s="89">
        <f t="shared" si="72"/>
        <v>0</v>
      </c>
      <c r="AA205" s="89">
        <f t="shared" si="60"/>
        <v>0</v>
      </c>
      <c r="AB205" s="89">
        <f t="shared" si="73"/>
        <v>0</v>
      </c>
      <c r="AC205" s="89">
        <f t="shared" si="61"/>
        <v>0</v>
      </c>
      <c r="AD205" s="89">
        <f t="shared" si="62"/>
        <v>0</v>
      </c>
      <c r="AE205" s="89">
        <f t="shared" si="63"/>
        <v>0</v>
      </c>
      <c r="AF205" s="89">
        <f t="shared" si="64"/>
        <v>0</v>
      </c>
      <c r="AG205" s="89">
        <f t="shared" si="65"/>
        <v>0</v>
      </c>
      <c r="AH205" s="89">
        <f t="shared" si="66"/>
        <v>0</v>
      </c>
      <c r="AI205" s="89">
        <v>0</v>
      </c>
      <c r="AJ205" s="89">
        <f>IF(AP205="stimulated", inputs!$E$29, 0)</f>
        <v>0</v>
      </c>
      <c r="AK205" s="89">
        <v>0</v>
      </c>
      <c r="AL205" s="153">
        <f t="shared" ref="AL205:AL217" si="83">SUM(V205:AK205)*F205</f>
        <v>0</v>
      </c>
      <c r="AM205" s="120"/>
      <c r="AN205" s="120"/>
      <c r="AO205" s="202" t="s">
        <v>69</v>
      </c>
      <c r="AP205" s="83" t="s">
        <v>265</v>
      </c>
      <c r="AQ205" s="203" t="s">
        <v>67</v>
      </c>
      <c r="AR205" s="120"/>
      <c r="AT205" s="41"/>
      <c r="AU205" s="294"/>
      <c r="AX205" s="44" t="s">
        <v>279</v>
      </c>
      <c r="AY205" s="73">
        <f>SUM(X203:X217)</f>
        <v>129.19999999999999</v>
      </c>
      <c r="AZ205" s="73">
        <v>129.19999999999999</v>
      </c>
    </row>
    <row r="206" spans="1:52" ht="24" thickBot="1">
      <c r="A206" s="121"/>
      <c r="B206" s="317"/>
      <c r="C206" s="85">
        <v>4</v>
      </c>
      <c r="D206" s="85" t="s">
        <v>553</v>
      </c>
      <c r="E206" s="151"/>
      <c r="F206" s="85">
        <v>0</v>
      </c>
      <c r="G206" s="85">
        <v>0</v>
      </c>
      <c r="H206" s="85">
        <v>0</v>
      </c>
      <c r="I206" s="85">
        <v>0</v>
      </c>
      <c r="J206" s="85">
        <v>0</v>
      </c>
      <c r="K206" s="85">
        <v>0</v>
      </c>
      <c r="L206" s="85">
        <v>0</v>
      </c>
      <c r="M206" s="85">
        <v>0</v>
      </c>
      <c r="N206" s="85">
        <v>0</v>
      </c>
      <c r="O206" s="85">
        <v>0</v>
      </c>
      <c r="P206" s="85">
        <v>0</v>
      </c>
      <c r="Q206" s="85">
        <v>0</v>
      </c>
      <c r="R206" s="85">
        <v>0</v>
      </c>
      <c r="S206" s="85">
        <v>0</v>
      </c>
      <c r="T206" s="85">
        <f t="shared" si="36"/>
        <v>0</v>
      </c>
      <c r="U206" s="89"/>
      <c r="V206" s="89">
        <f t="shared" si="59"/>
        <v>0</v>
      </c>
      <c r="W206" s="89">
        <f t="shared" si="71"/>
        <v>0</v>
      </c>
      <c r="X206" s="89">
        <f t="shared" si="81"/>
        <v>0</v>
      </c>
      <c r="Y206" s="89">
        <f t="shared" si="67"/>
        <v>0</v>
      </c>
      <c r="Z206" s="89">
        <f t="shared" si="72"/>
        <v>0</v>
      </c>
      <c r="AA206" s="89">
        <f t="shared" si="60"/>
        <v>0</v>
      </c>
      <c r="AB206" s="89">
        <f t="shared" si="73"/>
        <v>0</v>
      </c>
      <c r="AC206" s="89">
        <f t="shared" si="61"/>
        <v>0</v>
      </c>
      <c r="AD206" s="89">
        <f t="shared" si="62"/>
        <v>0</v>
      </c>
      <c r="AE206" s="89">
        <f t="shared" si="63"/>
        <v>0</v>
      </c>
      <c r="AF206" s="89">
        <f t="shared" si="64"/>
        <v>0</v>
      </c>
      <c r="AG206" s="89">
        <f t="shared" si="65"/>
        <v>0</v>
      </c>
      <c r="AH206" s="89">
        <f t="shared" si="66"/>
        <v>0</v>
      </c>
      <c r="AI206" s="89">
        <v>0</v>
      </c>
      <c r="AJ206" s="89"/>
      <c r="AK206" s="89">
        <f>inputs!E57*F206</f>
        <v>0</v>
      </c>
      <c r="AL206" s="153">
        <f t="shared" si="83"/>
        <v>0</v>
      </c>
      <c r="AM206" s="120"/>
      <c r="AN206" s="120"/>
      <c r="AO206" s="192" t="s">
        <v>70</v>
      </c>
      <c r="AP206" s="85" t="str">
        <f>IF(AP205="stimulated", "no", "yes")</f>
        <v>yes</v>
      </c>
      <c r="AQ206" s="186" t="s">
        <v>45</v>
      </c>
      <c r="AR206" s="120"/>
      <c r="AT206" s="42" t="s">
        <v>199</v>
      </c>
      <c r="AU206" s="43"/>
      <c r="AX206" s="44" t="s">
        <v>122</v>
      </c>
      <c r="AY206" s="73">
        <f>SUM(Y203:Y217)</f>
        <v>154.82187500000003</v>
      </c>
      <c r="AZ206" s="73">
        <v>154.82187500000003</v>
      </c>
    </row>
    <row r="207" spans="1:52" ht="23.25">
      <c r="A207" s="121"/>
      <c r="B207" s="317"/>
      <c r="C207" s="85">
        <v>5</v>
      </c>
      <c r="D207" s="85" t="s">
        <v>537</v>
      </c>
      <c r="E207" s="151" t="s">
        <v>263</v>
      </c>
      <c r="F207" s="85">
        <f>IF(AP210="no", 0, 1)</f>
        <v>0</v>
      </c>
      <c r="G207" s="85">
        <v>10</v>
      </c>
      <c r="H207" s="85">
        <v>0</v>
      </c>
      <c r="I207" s="85">
        <v>0</v>
      </c>
      <c r="J207" s="85">
        <v>15</v>
      </c>
      <c r="K207" s="85">
        <v>0</v>
      </c>
      <c r="L207" s="85">
        <v>0</v>
      </c>
      <c r="M207" s="85">
        <v>0</v>
      </c>
      <c r="N207" s="85">
        <v>0</v>
      </c>
      <c r="O207" s="85">
        <v>0</v>
      </c>
      <c r="P207" s="85">
        <v>0</v>
      </c>
      <c r="Q207" s="85">
        <v>10</v>
      </c>
      <c r="R207" s="85">
        <v>0</v>
      </c>
      <c r="S207" s="85">
        <v>0</v>
      </c>
      <c r="T207" s="85">
        <f t="shared" si="36"/>
        <v>0</v>
      </c>
      <c r="U207" s="89"/>
      <c r="V207" s="89">
        <f t="shared" si="59"/>
        <v>0</v>
      </c>
      <c r="W207" s="89">
        <f t="shared" si="71"/>
        <v>0</v>
      </c>
      <c r="X207" s="89">
        <f t="shared" si="81"/>
        <v>0</v>
      </c>
      <c r="Y207" s="89">
        <f t="shared" si="67"/>
        <v>0</v>
      </c>
      <c r="Z207" s="89">
        <f t="shared" si="72"/>
        <v>0</v>
      </c>
      <c r="AA207" s="89">
        <f t="shared" si="60"/>
        <v>0</v>
      </c>
      <c r="AB207" s="89">
        <f t="shared" si="73"/>
        <v>0</v>
      </c>
      <c r="AC207" s="89">
        <f t="shared" si="61"/>
        <v>0</v>
      </c>
      <c r="AD207" s="89">
        <f t="shared" si="62"/>
        <v>0</v>
      </c>
      <c r="AE207" s="89">
        <f t="shared" si="63"/>
        <v>0</v>
      </c>
      <c r="AF207" s="89">
        <f t="shared" si="64"/>
        <v>0</v>
      </c>
      <c r="AG207" s="89">
        <f t="shared" si="65"/>
        <v>0</v>
      </c>
      <c r="AH207" s="89">
        <f t="shared" si="66"/>
        <v>0</v>
      </c>
      <c r="AI207" s="89">
        <v>0</v>
      </c>
      <c r="AJ207" s="89"/>
      <c r="AK207" s="89">
        <v>0</v>
      </c>
      <c r="AL207" s="153">
        <f t="shared" si="83"/>
        <v>0</v>
      </c>
      <c r="AM207" s="120"/>
      <c r="AN207" s="120"/>
      <c r="AO207" s="192" t="s">
        <v>71</v>
      </c>
      <c r="AP207" s="85" t="s">
        <v>17</v>
      </c>
      <c r="AQ207" s="186" t="s">
        <v>57</v>
      </c>
      <c r="AR207" s="120"/>
      <c r="AT207" s="44" t="s">
        <v>222</v>
      </c>
      <c r="AU207" s="45">
        <f>AL203</f>
        <v>47.121909157286893</v>
      </c>
      <c r="AX207" s="44" t="s">
        <v>207</v>
      </c>
      <c r="AY207" s="73">
        <f>SUM(Z203:Z217)</f>
        <v>55.878139254350259</v>
      </c>
      <c r="AZ207" s="73">
        <v>55.878139254350259</v>
      </c>
    </row>
    <row r="208" spans="1:52" ht="23.25">
      <c r="A208" s="121"/>
      <c r="B208" s="317"/>
      <c r="C208" s="85">
        <v>6</v>
      </c>
      <c r="D208" s="85" t="s">
        <v>538</v>
      </c>
      <c r="E208" s="151" t="s">
        <v>52</v>
      </c>
      <c r="F208" s="85">
        <f>IF(AP205="natural", 1, 0)</f>
        <v>1</v>
      </c>
      <c r="G208" s="85">
        <v>30</v>
      </c>
      <c r="H208" s="85">
        <v>0</v>
      </c>
      <c r="I208" s="85">
        <v>0</v>
      </c>
      <c r="J208" s="85">
        <v>20</v>
      </c>
      <c r="K208" s="85">
        <v>0</v>
      </c>
      <c r="L208" s="85">
        <v>0</v>
      </c>
      <c r="M208" s="85">
        <v>0</v>
      </c>
      <c r="N208" s="85">
        <v>0</v>
      </c>
      <c r="O208" s="85">
        <v>0</v>
      </c>
      <c r="P208" s="85">
        <v>0</v>
      </c>
      <c r="Q208" s="85">
        <v>0</v>
      </c>
      <c r="R208" s="85">
        <v>0</v>
      </c>
      <c r="S208" s="85">
        <v>0</v>
      </c>
      <c r="T208" s="85">
        <f t="shared" si="36"/>
        <v>20</v>
      </c>
      <c r="U208" s="89"/>
      <c r="V208" s="89">
        <f t="shared" si="59"/>
        <v>2.1752459858103061</v>
      </c>
      <c r="W208" s="89">
        <f t="shared" si="71"/>
        <v>0</v>
      </c>
      <c r="X208" s="89">
        <f t="shared" si="81"/>
        <v>0</v>
      </c>
      <c r="Y208" s="89">
        <f t="shared" si="67"/>
        <v>16.737500000000004</v>
      </c>
      <c r="Z208" s="89">
        <f t="shared" si="72"/>
        <v>0</v>
      </c>
      <c r="AA208" s="89">
        <f t="shared" si="60"/>
        <v>0</v>
      </c>
      <c r="AB208" s="89">
        <f t="shared" si="73"/>
        <v>0</v>
      </c>
      <c r="AC208" s="89">
        <f t="shared" si="61"/>
        <v>0</v>
      </c>
      <c r="AD208" s="89">
        <f t="shared" si="62"/>
        <v>0</v>
      </c>
      <c r="AE208" s="89">
        <f t="shared" si="63"/>
        <v>0</v>
      </c>
      <c r="AF208" s="89">
        <f t="shared" si="64"/>
        <v>0</v>
      </c>
      <c r="AG208" s="89">
        <f t="shared" si="65"/>
        <v>0</v>
      </c>
      <c r="AH208" s="89">
        <f t="shared" si="66"/>
        <v>0</v>
      </c>
      <c r="AI208" s="89">
        <v>0</v>
      </c>
      <c r="AJ208" s="89"/>
      <c r="AK208" s="89">
        <v>0</v>
      </c>
      <c r="AL208" s="153">
        <f t="shared" si="83"/>
        <v>18.912745985810311</v>
      </c>
      <c r="AM208" s="120"/>
      <c r="AN208" s="120"/>
      <c r="AO208" s="192" t="s">
        <v>72</v>
      </c>
      <c r="AP208" s="85" t="s">
        <v>17</v>
      </c>
      <c r="AQ208" s="186" t="s">
        <v>57</v>
      </c>
      <c r="AR208" s="120"/>
      <c r="AT208" s="44" t="s">
        <v>200</v>
      </c>
      <c r="AU208" s="45">
        <f>SUM(AL204:AL210)</f>
        <v>95.262098221985724</v>
      </c>
      <c r="AX208" s="44" t="s">
        <v>123</v>
      </c>
      <c r="AY208" s="73">
        <f>SUM(AA203:AA217)</f>
        <v>0</v>
      </c>
      <c r="AZ208" s="73">
        <v>0</v>
      </c>
    </row>
    <row r="209" spans="1:52" ht="23.25">
      <c r="A209" s="121"/>
      <c r="B209" s="317"/>
      <c r="C209" s="85">
        <v>7</v>
      </c>
      <c r="D209" s="85" t="s">
        <v>539</v>
      </c>
      <c r="E209" s="151" t="s">
        <v>152</v>
      </c>
      <c r="F209" s="85">
        <v>1</v>
      </c>
      <c r="G209" s="85">
        <v>30</v>
      </c>
      <c r="H209" s="85">
        <v>0</v>
      </c>
      <c r="I209" s="85">
        <v>30</v>
      </c>
      <c r="J209" s="85">
        <v>30</v>
      </c>
      <c r="K209" s="85">
        <v>0</v>
      </c>
      <c r="L209" s="85">
        <v>0</v>
      </c>
      <c r="M209" s="85">
        <v>0</v>
      </c>
      <c r="N209" s="85">
        <v>0</v>
      </c>
      <c r="O209" s="85">
        <v>0</v>
      </c>
      <c r="P209" s="85">
        <v>0</v>
      </c>
      <c r="Q209" s="85">
        <v>0</v>
      </c>
      <c r="R209" s="85">
        <v>0</v>
      </c>
      <c r="S209" s="85">
        <v>0</v>
      </c>
      <c r="T209" s="85">
        <f t="shared" si="36"/>
        <v>60</v>
      </c>
      <c r="U209" s="89"/>
      <c r="V209" s="89">
        <f t="shared" si="59"/>
        <v>6.5257379574309189</v>
      </c>
      <c r="W209" s="89">
        <f t="shared" si="71"/>
        <v>0</v>
      </c>
      <c r="X209" s="89">
        <f t="shared" si="81"/>
        <v>32.299999999999997</v>
      </c>
      <c r="Y209" s="89">
        <f t="shared" si="67"/>
        <v>25.106250000000003</v>
      </c>
      <c r="Z209" s="89">
        <f>IF(ISNUMBER(SEARCH("CCR4", E209)),(T209-K209)*$Z$3, 0)</f>
        <v>12.417364278744502</v>
      </c>
      <c r="AA209" s="89">
        <f t="shared" si="60"/>
        <v>0</v>
      </c>
      <c r="AB209" s="89">
        <f t="shared" si="73"/>
        <v>0</v>
      </c>
      <c r="AC209" s="89">
        <f t="shared" si="61"/>
        <v>0</v>
      </c>
      <c r="AD209" s="89">
        <f t="shared" si="62"/>
        <v>0</v>
      </c>
      <c r="AE209" s="89">
        <f t="shared" si="63"/>
        <v>0</v>
      </c>
      <c r="AF209" s="89">
        <f t="shared" si="64"/>
        <v>0</v>
      </c>
      <c r="AG209" s="89">
        <f t="shared" si="65"/>
        <v>0</v>
      </c>
      <c r="AH209" s="89">
        <f t="shared" si="66"/>
        <v>0</v>
      </c>
      <c r="AI209" s="89">
        <v>0</v>
      </c>
      <c r="AJ209" s="89"/>
      <c r="AK209" s="89">
        <v>0</v>
      </c>
      <c r="AL209" s="153">
        <f t="shared" si="83"/>
        <v>76.34935223617542</v>
      </c>
      <c r="AM209" s="170"/>
      <c r="AN209" s="170"/>
      <c r="AO209" s="192" t="s">
        <v>75</v>
      </c>
      <c r="AP209" s="85">
        <v>1</v>
      </c>
      <c r="AQ209" s="186" t="s">
        <v>92</v>
      </c>
      <c r="AR209" s="120"/>
      <c r="AT209" s="44" t="s">
        <v>201</v>
      </c>
      <c r="AU209" s="45"/>
      <c r="AX209" s="44" t="s">
        <v>208</v>
      </c>
      <c r="AY209" s="73" t="e">
        <f>SUM(AB203:AB217)</f>
        <v>#REF!</v>
      </c>
      <c r="AZ209" s="73">
        <v>230.35488691539118</v>
      </c>
    </row>
    <row r="210" spans="1:52" ht="23.25">
      <c r="A210" s="121"/>
      <c r="B210" s="317"/>
      <c r="C210" s="85">
        <v>8</v>
      </c>
      <c r="D210" s="85" t="s">
        <v>540</v>
      </c>
      <c r="E210" s="151"/>
      <c r="F210" s="85">
        <f>IF(AP205="natural", 0, 1)</f>
        <v>0</v>
      </c>
      <c r="G210" s="85">
        <v>0</v>
      </c>
      <c r="H210" s="85">
        <v>0</v>
      </c>
      <c r="I210" s="85">
        <v>0</v>
      </c>
      <c r="J210" s="85">
        <v>0</v>
      </c>
      <c r="K210" s="85">
        <v>0</v>
      </c>
      <c r="L210" s="85">
        <v>0</v>
      </c>
      <c r="M210" s="85">
        <v>0</v>
      </c>
      <c r="N210" s="85">
        <v>0</v>
      </c>
      <c r="O210" s="85">
        <v>0</v>
      </c>
      <c r="P210" s="85">
        <v>0</v>
      </c>
      <c r="Q210" s="85">
        <v>0</v>
      </c>
      <c r="R210" s="85">
        <v>0</v>
      </c>
      <c r="S210" s="85">
        <v>0</v>
      </c>
      <c r="T210" s="85">
        <f t="shared" si="36"/>
        <v>0</v>
      </c>
      <c r="U210" s="89"/>
      <c r="V210" s="89">
        <f t="shared" si="59"/>
        <v>0</v>
      </c>
      <c r="W210" s="89">
        <f t="shared" si="71"/>
        <v>0</v>
      </c>
      <c r="X210" s="89">
        <f t="shared" si="81"/>
        <v>0</v>
      </c>
      <c r="Y210" s="89">
        <f t="shared" si="67"/>
        <v>0</v>
      </c>
      <c r="Z210" s="89">
        <f t="shared" si="72"/>
        <v>0</v>
      </c>
      <c r="AA210" s="89">
        <f t="shared" si="60"/>
        <v>0</v>
      </c>
      <c r="AB210" s="89">
        <f t="shared" si="73"/>
        <v>0</v>
      </c>
      <c r="AC210" s="89">
        <f t="shared" si="61"/>
        <v>0</v>
      </c>
      <c r="AD210" s="89">
        <f t="shared" si="62"/>
        <v>0</v>
      </c>
      <c r="AE210" s="89">
        <f t="shared" si="63"/>
        <v>0</v>
      </c>
      <c r="AF210" s="89">
        <f t="shared" si="64"/>
        <v>0</v>
      </c>
      <c r="AG210" s="89">
        <f t="shared" si="65"/>
        <v>0</v>
      </c>
      <c r="AH210" s="89">
        <f t="shared" si="66"/>
        <v>0</v>
      </c>
      <c r="AI210" s="89">
        <v>0</v>
      </c>
      <c r="AJ210" s="89">
        <f>inputs!$E$30*F210</f>
        <v>0</v>
      </c>
      <c r="AK210" s="89">
        <v>0</v>
      </c>
      <c r="AL210" s="153">
        <f t="shared" si="83"/>
        <v>0</v>
      </c>
      <c r="AM210" s="120"/>
      <c r="AN210" s="120"/>
      <c r="AO210" s="192" t="s">
        <v>59</v>
      </c>
      <c r="AP210" s="85" t="s">
        <v>18</v>
      </c>
      <c r="AQ210" s="186" t="s">
        <v>57</v>
      </c>
      <c r="AR210" s="120"/>
      <c r="AT210" s="44" t="s">
        <v>223</v>
      </c>
      <c r="AU210" s="45"/>
      <c r="AX210" s="44" t="s">
        <v>209</v>
      </c>
      <c r="AY210" s="73">
        <f>SUM(AC203:AC217)</f>
        <v>0</v>
      </c>
      <c r="AZ210" s="73">
        <v>0</v>
      </c>
    </row>
    <row r="211" spans="1:52" ht="23.25">
      <c r="A211" s="121"/>
      <c r="B211" s="317"/>
      <c r="C211" s="85">
        <v>9</v>
      </c>
      <c r="D211" s="85" t="s">
        <v>93</v>
      </c>
      <c r="E211" s="151" t="s">
        <v>211</v>
      </c>
      <c r="F211" s="85">
        <f>IF(AND($AP$207="yes", (OR($AP$211="Cryo Blasto", $AP$211="Cryo DMSO"))), 1, 0)</f>
        <v>1</v>
      </c>
      <c r="G211" s="85">
        <v>0</v>
      </c>
      <c r="H211" s="85">
        <v>0</v>
      </c>
      <c r="I211" s="85">
        <v>0</v>
      </c>
      <c r="J211" s="85">
        <v>0</v>
      </c>
      <c r="K211" s="85">
        <v>7.33</v>
      </c>
      <c r="L211" s="85">
        <v>0</v>
      </c>
      <c r="M211" s="85">
        <v>0</v>
      </c>
      <c r="N211" s="85">
        <v>0</v>
      </c>
      <c r="O211" s="85">
        <v>0</v>
      </c>
      <c r="P211" s="85">
        <v>0</v>
      </c>
      <c r="Q211" s="85">
        <v>0</v>
      </c>
      <c r="R211" s="85">
        <v>0</v>
      </c>
      <c r="S211" s="85">
        <v>0</v>
      </c>
      <c r="T211" s="85">
        <f t="shared" si="36"/>
        <v>7.33</v>
      </c>
      <c r="U211" s="89"/>
      <c r="V211" s="89">
        <f t="shared" si="59"/>
        <v>0.79722765379947724</v>
      </c>
      <c r="W211" s="89">
        <f t="shared" si="71"/>
        <v>0</v>
      </c>
      <c r="X211" s="89">
        <f t="shared" si="81"/>
        <v>0</v>
      </c>
      <c r="Y211" s="89">
        <f t="shared" si="67"/>
        <v>0</v>
      </c>
      <c r="Z211" s="89">
        <f t="shared" si="72"/>
        <v>0</v>
      </c>
      <c r="AA211" s="89">
        <f t="shared" si="60"/>
        <v>0</v>
      </c>
      <c r="AB211" s="89">
        <f t="shared" si="73"/>
        <v>15.298157217261904</v>
      </c>
      <c r="AC211" s="89">
        <f t="shared" si="61"/>
        <v>0</v>
      </c>
      <c r="AD211" s="89">
        <f t="shared" si="62"/>
        <v>13.525875208706578</v>
      </c>
      <c r="AE211" s="89">
        <f t="shared" si="63"/>
        <v>0</v>
      </c>
      <c r="AF211" s="89">
        <f t="shared" si="64"/>
        <v>6.8764623953535358</v>
      </c>
      <c r="AG211" s="89">
        <f t="shared" si="65"/>
        <v>0</v>
      </c>
      <c r="AH211" s="89">
        <f t="shared" si="66"/>
        <v>0</v>
      </c>
      <c r="AI211" s="89">
        <v>0</v>
      </c>
      <c r="AJ211" s="89"/>
      <c r="AK211" s="89">
        <v>0</v>
      </c>
      <c r="AL211" s="189">
        <f>SUM(V211:AK211)*F211</f>
        <v>36.497722475121492</v>
      </c>
      <c r="AM211" s="120"/>
      <c r="AN211" s="120"/>
      <c r="AO211" s="193" t="s">
        <v>177</v>
      </c>
      <c r="AP211" s="87" t="s">
        <v>213</v>
      </c>
      <c r="AQ211" s="194" t="s">
        <v>175</v>
      </c>
      <c r="AR211" s="120"/>
      <c r="AT211" s="44" t="s">
        <v>202</v>
      </c>
      <c r="AU211" s="45">
        <f>AL215</f>
        <v>293.98836278362671</v>
      </c>
      <c r="AX211" s="44" t="s">
        <v>191</v>
      </c>
      <c r="AY211" s="73" t="e">
        <f>SUM(AD203:AD217)</f>
        <v>#REF!</v>
      </c>
      <c r="AZ211" s="73">
        <v>175.98927203439092</v>
      </c>
    </row>
    <row r="212" spans="1:52" ht="23.25">
      <c r="A212" s="121"/>
      <c r="B212" s="317"/>
      <c r="C212" s="85">
        <v>10</v>
      </c>
      <c r="D212" s="85" t="s">
        <v>94</v>
      </c>
      <c r="E212" s="151" t="s">
        <v>211</v>
      </c>
      <c r="F212" s="85">
        <f>IF(AND(AP207="yes", AP211="Vitri"), 1, 0)</f>
        <v>0</v>
      </c>
      <c r="G212" s="85">
        <v>0</v>
      </c>
      <c r="H212" s="85">
        <v>0</v>
      </c>
      <c r="I212" s="85">
        <v>0</v>
      </c>
      <c r="J212" s="85">
        <v>0</v>
      </c>
      <c r="K212" s="85">
        <v>7.1</v>
      </c>
      <c r="L212" s="85">
        <v>0</v>
      </c>
      <c r="M212" s="85">
        <v>0</v>
      </c>
      <c r="N212" s="85">
        <v>0</v>
      </c>
      <c r="O212" s="85">
        <v>0</v>
      </c>
      <c r="P212" s="85">
        <v>0</v>
      </c>
      <c r="Q212" s="85">
        <v>0</v>
      </c>
      <c r="R212" s="85">
        <v>0</v>
      </c>
      <c r="S212" s="85">
        <v>0</v>
      </c>
      <c r="T212" s="85">
        <f t="shared" si="36"/>
        <v>0</v>
      </c>
      <c r="U212" s="89"/>
      <c r="V212" s="89">
        <f t="shared" si="59"/>
        <v>0</v>
      </c>
      <c r="W212" s="89">
        <f t="shared" si="71"/>
        <v>0</v>
      </c>
      <c r="X212" s="89">
        <f t="shared" si="81"/>
        <v>0</v>
      </c>
      <c r="Y212" s="89">
        <f t="shared" si="67"/>
        <v>0</v>
      </c>
      <c r="Z212" s="89">
        <f t="shared" si="72"/>
        <v>0</v>
      </c>
      <c r="AA212" s="89">
        <f t="shared" si="60"/>
        <v>0</v>
      </c>
      <c r="AB212" s="89">
        <f t="shared" si="73"/>
        <v>0</v>
      </c>
      <c r="AC212" s="89">
        <f t="shared" si="61"/>
        <v>0</v>
      </c>
      <c r="AD212" s="89">
        <f t="shared" si="62"/>
        <v>0</v>
      </c>
      <c r="AE212" s="89">
        <f t="shared" si="63"/>
        <v>0</v>
      </c>
      <c r="AF212" s="89">
        <f t="shared" si="64"/>
        <v>0</v>
      </c>
      <c r="AG212" s="89">
        <f t="shared" si="65"/>
        <v>0</v>
      </c>
      <c r="AH212" s="89">
        <f t="shared" si="66"/>
        <v>0</v>
      </c>
      <c r="AI212" s="89">
        <f>inputs!E56*F212</f>
        <v>0</v>
      </c>
      <c r="AJ212" s="89"/>
      <c r="AK212" s="89">
        <v>0</v>
      </c>
      <c r="AL212" s="189">
        <f t="shared" si="83"/>
        <v>0</v>
      </c>
      <c r="AM212" s="120"/>
      <c r="AN212" s="120"/>
      <c r="AO212" s="120"/>
      <c r="AP212" s="120"/>
      <c r="AQ212" s="120"/>
      <c r="AR212" s="120"/>
      <c r="AT212" s="44" t="s">
        <v>224</v>
      </c>
      <c r="AU212" s="45" t="e">
        <f>SUM(AL211:AL214)</f>
        <v>#REF!</v>
      </c>
      <c r="AX212" s="44" t="s">
        <v>192</v>
      </c>
      <c r="AY212" s="73">
        <f>SUM(AE203:AE217)</f>
        <v>0</v>
      </c>
      <c r="AZ212" s="73">
        <v>0</v>
      </c>
    </row>
    <row r="213" spans="1:52" ht="24" thickBot="1">
      <c r="A213" s="121"/>
      <c r="B213" s="317"/>
      <c r="C213" s="85">
        <v>11</v>
      </c>
      <c r="D213" s="85" t="s">
        <v>541</v>
      </c>
      <c r="E213" s="151" t="s">
        <v>211</v>
      </c>
      <c r="F213" s="85">
        <f>IF(AND($AP$207="yes", (OR($AP$211="Cryo Blasto", $AP$211="Cryo DMSO"))), $AP$209, 0)</f>
        <v>1</v>
      </c>
      <c r="G213" s="85">
        <v>0</v>
      </c>
      <c r="H213" s="85">
        <v>0</v>
      </c>
      <c r="I213" s="85">
        <v>0</v>
      </c>
      <c r="J213" s="85">
        <v>0</v>
      </c>
      <c r="K213" s="85" t="e">
        <f>IF(AP211="Vitri", 0,#REF!+ 10)</f>
        <v>#REF!</v>
      </c>
      <c r="L213" s="85">
        <v>0</v>
      </c>
      <c r="M213" s="85">
        <v>0</v>
      </c>
      <c r="N213" s="85">
        <v>0</v>
      </c>
      <c r="O213" s="85">
        <v>0</v>
      </c>
      <c r="P213" s="85">
        <v>0</v>
      </c>
      <c r="Q213" s="85">
        <v>0</v>
      </c>
      <c r="R213" s="85">
        <v>0</v>
      </c>
      <c r="S213" s="85">
        <v>0</v>
      </c>
      <c r="T213" s="85" t="e">
        <f t="shared" si="36"/>
        <v>#REF!</v>
      </c>
      <c r="U213" s="89"/>
      <c r="V213" s="89" t="e">
        <f t="shared" si="59"/>
        <v>#REF!</v>
      </c>
      <c r="W213" s="89">
        <f t="shared" si="71"/>
        <v>0</v>
      </c>
      <c r="X213" s="89">
        <f t="shared" si="81"/>
        <v>0</v>
      </c>
      <c r="Y213" s="89">
        <f t="shared" si="67"/>
        <v>0</v>
      </c>
      <c r="Z213" s="89">
        <f t="shared" si="72"/>
        <v>0</v>
      </c>
      <c r="AA213" s="89">
        <f t="shared" si="60"/>
        <v>0</v>
      </c>
      <c r="AB213" s="89" t="e">
        <f t="shared" si="73"/>
        <v>#REF!</v>
      </c>
      <c r="AC213" s="89">
        <f t="shared" si="61"/>
        <v>0</v>
      </c>
      <c r="AD213" s="89" t="e">
        <f t="shared" si="62"/>
        <v>#REF!</v>
      </c>
      <c r="AE213" s="89">
        <f t="shared" si="63"/>
        <v>0</v>
      </c>
      <c r="AF213" s="89" t="e">
        <f t="shared" si="64"/>
        <v>#REF!</v>
      </c>
      <c r="AG213" s="89">
        <f t="shared" si="65"/>
        <v>0</v>
      </c>
      <c r="AH213" s="89">
        <f t="shared" si="66"/>
        <v>0</v>
      </c>
      <c r="AI213" s="89">
        <v>0</v>
      </c>
      <c r="AJ213" s="89"/>
      <c r="AK213" s="89">
        <v>0</v>
      </c>
      <c r="AL213" s="189" t="e">
        <f t="shared" si="83"/>
        <v>#REF!</v>
      </c>
      <c r="AM213" s="170"/>
      <c r="AN213" s="170"/>
      <c r="AO213" s="120"/>
      <c r="AP213" s="120"/>
      <c r="AQ213" s="204"/>
      <c r="AR213" s="120"/>
      <c r="AT213" s="44" t="s">
        <v>203</v>
      </c>
      <c r="AU213" s="50">
        <f>SUM(AL216:AL217)</f>
        <v>184.17870447235083</v>
      </c>
      <c r="AX213" s="44" t="s">
        <v>193</v>
      </c>
      <c r="AY213" s="73" t="e">
        <f>SUM(AF203:AF217)</f>
        <v>#REF!</v>
      </c>
      <c r="AZ213" s="73">
        <v>56.731149806608954</v>
      </c>
    </row>
    <row r="214" spans="1:52" ht="24" thickTop="1">
      <c r="A214" s="121"/>
      <c r="B214" s="317"/>
      <c r="C214" s="85">
        <v>12</v>
      </c>
      <c r="D214" s="85" t="s">
        <v>542</v>
      </c>
      <c r="E214" s="151" t="s">
        <v>211</v>
      </c>
      <c r="F214" s="85">
        <f>IF(AND(AP207="yes", AP211="Vitri"), $AP$209, 0)</f>
        <v>0</v>
      </c>
      <c r="G214" s="85">
        <v>0</v>
      </c>
      <c r="H214" s="85">
        <v>0</v>
      </c>
      <c r="I214" s="85">
        <v>0</v>
      </c>
      <c r="J214" s="85">
        <v>0</v>
      </c>
      <c r="K214" s="85">
        <f>IF(AP211="Vitri", 25.2, 0)</f>
        <v>0</v>
      </c>
      <c r="L214" s="85">
        <v>0</v>
      </c>
      <c r="M214" s="85">
        <v>0</v>
      </c>
      <c r="N214" s="85">
        <v>0</v>
      </c>
      <c r="O214" s="85">
        <v>0</v>
      </c>
      <c r="P214" s="85">
        <v>0</v>
      </c>
      <c r="Q214" s="85">
        <v>0</v>
      </c>
      <c r="R214" s="85">
        <v>0</v>
      </c>
      <c r="S214" s="85">
        <v>0</v>
      </c>
      <c r="T214" s="85">
        <f t="shared" si="36"/>
        <v>0</v>
      </c>
      <c r="U214" s="89"/>
      <c r="V214" s="89">
        <f t="shared" si="59"/>
        <v>0</v>
      </c>
      <c r="W214" s="89">
        <f t="shared" si="71"/>
        <v>0</v>
      </c>
      <c r="X214" s="89">
        <f t="shared" si="81"/>
        <v>0</v>
      </c>
      <c r="Y214" s="89">
        <f t="shared" si="67"/>
        <v>0</v>
      </c>
      <c r="Z214" s="89">
        <f t="shared" si="72"/>
        <v>0</v>
      </c>
      <c r="AA214" s="89">
        <f t="shared" si="60"/>
        <v>0</v>
      </c>
      <c r="AB214" s="89">
        <f t="shared" si="73"/>
        <v>0</v>
      </c>
      <c r="AC214" s="89">
        <f t="shared" si="61"/>
        <v>0</v>
      </c>
      <c r="AD214" s="89">
        <f t="shared" si="62"/>
        <v>0</v>
      </c>
      <c r="AE214" s="89">
        <f t="shared" si="63"/>
        <v>0</v>
      </c>
      <c r="AF214" s="89">
        <f t="shared" si="64"/>
        <v>0</v>
      </c>
      <c r="AG214" s="89">
        <f t="shared" si="65"/>
        <v>0</v>
      </c>
      <c r="AH214" s="89">
        <f t="shared" si="66"/>
        <v>0</v>
      </c>
      <c r="AI214" s="266">
        <f>inputs!$E$56*F214</f>
        <v>0</v>
      </c>
      <c r="AJ214" s="89"/>
      <c r="AK214" s="89">
        <v>0</v>
      </c>
      <c r="AL214" s="189">
        <f t="shared" si="83"/>
        <v>0</v>
      </c>
      <c r="AM214" s="120"/>
      <c r="AN214" s="120"/>
      <c r="AO214" s="120"/>
      <c r="AP214" s="120"/>
      <c r="AQ214" s="120"/>
      <c r="AR214" s="120"/>
      <c r="AT214" s="47" t="s">
        <v>204</v>
      </c>
      <c r="AU214" s="37" t="e">
        <f>SUM(AU207:AU213)</f>
        <v>#REF!</v>
      </c>
      <c r="AX214" s="44" t="s">
        <v>146</v>
      </c>
      <c r="AY214" s="73">
        <f>SUM(AG203:AG217)</f>
        <v>0</v>
      </c>
      <c r="AZ214" s="73">
        <v>0</v>
      </c>
    </row>
    <row r="215" spans="1:52" ht="24" thickBot="1">
      <c r="A215" s="121"/>
      <c r="B215" s="317"/>
      <c r="C215" s="85">
        <v>13</v>
      </c>
      <c r="D215" s="85" t="s">
        <v>543</v>
      </c>
      <c r="E215" s="151" t="s">
        <v>212</v>
      </c>
      <c r="F215" s="85">
        <f>IF(AP208="yes", 1, 0)</f>
        <v>1</v>
      </c>
      <c r="G215" s="85">
        <v>30</v>
      </c>
      <c r="H215" s="85">
        <v>0</v>
      </c>
      <c r="I215" s="85">
        <v>30</v>
      </c>
      <c r="J215" s="85">
        <v>60</v>
      </c>
      <c r="K215" s="85">
        <v>34.9</v>
      </c>
      <c r="L215" s="85">
        <v>0</v>
      </c>
      <c r="M215" s="85">
        <v>0</v>
      </c>
      <c r="N215" s="85">
        <v>0</v>
      </c>
      <c r="O215" s="85">
        <v>0</v>
      </c>
      <c r="P215" s="85">
        <v>0</v>
      </c>
      <c r="Q215" s="85">
        <v>0</v>
      </c>
      <c r="R215" s="85">
        <v>0</v>
      </c>
      <c r="S215" s="85">
        <v>0</v>
      </c>
      <c r="T215" s="85">
        <f t="shared" si="36"/>
        <v>124.9</v>
      </c>
      <c r="U215" s="89"/>
      <c r="V215" s="89">
        <f t="shared" si="59"/>
        <v>13.584411181385363</v>
      </c>
      <c r="W215" s="89">
        <f t="shared" si="71"/>
        <v>0</v>
      </c>
      <c r="X215" s="89">
        <f t="shared" si="81"/>
        <v>32.299999999999997</v>
      </c>
      <c r="Y215" s="89">
        <f t="shared" si="67"/>
        <v>50.212500000000006</v>
      </c>
      <c r="Z215" s="89">
        <f>IF(ISNUMBER(SEARCH("CCR4", E215)),(T215-K215)*$Z$3, 0)</f>
        <v>18.626046418116754</v>
      </c>
      <c r="AA215" s="89">
        <f t="shared" si="60"/>
        <v>0</v>
      </c>
      <c r="AB215" s="89">
        <f t="shared" si="73"/>
        <v>72.838429315476191</v>
      </c>
      <c r="AC215" s="89">
        <f t="shared" si="61"/>
        <v>0</v>
      </c>
      <c r="AD215" s="89">
        <f t="shared" si="62"/>
        <v>64.400142535315084</v>
      </c>
      <c r="AE215" s="89">
        <f t="shared" si="63"/>
        <v>0</v>
      </c>
      <c r="AF215" s="89">
        <f t="shared" si="64"/>
        <v>0</v>
      </c>
      <c r="AG215" s="89">
        <f t="shared" si="65"/>
        <v>0</v>
      </c>
      <c r="AH215" s="89">
        <f t="shared" si="66"/>
        <v>0</v>
      </c>
      <c r="AI215" s="89">
        <f>inputs!$E$47*F194</f>
        <v>42.026833333333336</v>
      </c>
      <c r="AJ215" s="89"/>
      <c r="AK215" s="89">
        <v>0</v>
      </c>
      <c r="AL215" s="188">
        <f t="shared" si="83"/>
        <v>293.98836278362671</v>
      </c>
      <c r="AM215" s="120"/>
      <c r="AN215" s="120"/>
      <c r="AO215" s="120"/>
      <c r="AP215" s="120"/>
      <c r="AQ215" s="120"/>
      <c r="AR215" s="120"/>
      <c r="AX215" s="44" t="s">
        <v>285</v>
      </c>
      <c r="AY215" s="50">
        <f>SUM(AH203:AH217)</f>
        <v>0</v>
      </c>
      <c r="AZ215" s="50">
        <v>0</v>
      </c>
    </row>
    <row r="216" spans="1:52" ht="24" thickTop="1">
      <c r="A216" s="121"/>
      <c r="B216" s="317"/>
      <c r="C216" s="85">
        <v>14</v>
      </c>
      <c r="D216" s="85" t="s">
        <v>529</v>
      </c>
      <c r="E216" s="151" t="s">
        <v>152</v>
      </c>
      <c r="F216" s="85">
        <f>IF(AP208="yes", 1, 0)</f>
        <v>1</v>
      </c>
      <c r="G216" s="85">
        <v>30</v>
      </c>
      <c r="H216" s="85">
        <v>0</v>
      </c>
      <c r="I216" s="85">
        <v>30</v>
      </c>
      <c r="J216" s="85">
        <v>30</v>
      </c>
      <c r="K216" s="85">
        <v>0</v>
      </c>
      <c r="L216" s="85">
        <v>0</v>
      </c>
      <c r="M216" s="85">
        <v>0</v>
      </c>
      <c r="N216" s="85">
        <v>0</v>
      </c>
      <c r="O216" s="85">
        <v>0</v>
      </c>
      <c r="P216" s="85">
        <v>0</v>
      </c>
      <c r="Q216" s="85">
        <v>0</v>
      </c>
      <c r="R216" s="85">
        <v>0</v>
      </c>
      <c r="S216" s="85">
        <v>0</v>
      </c>
      <c r="T216" s="85">
        <f t="shared" si="36"/>
        <v>60</v>
      </c>
      <c r="U216" s="89"/>
      <c r="V216" s="89">
        <f t="shared" ref="V216:V255" si="84">T216*$V$3*F216</f>
        <v>6.5257379574309189</v>
      </c>
      <c r="W216" s="89">
        <f t="shared" si="71"/>
        <v>0</v>
      </c>
      <c r="X216" s="89">
        <f t="shared" si="81"/>
        <v>32.299999999999997</v>
      </c>
      <c r="Y216" s="89">
        <f t="shared" si="67"/>
        <v>25.106250000000003</v>
      </c>
      <c r="Z216" s="89">
        <f>IF(ISNUMBER(SEARCH("CCR4", E216)),(T216-K216)*$Z$3, 0)</f>
        <v>12.417364278744502</v>
      </c>
      <c r="AA216" s="89">
        <f t="shared" ref="AA216:AA255" si="85">L216*$AA$3*F216</f>
        <v>0</v>
      </c>
      <c r="AB216" s="89">
        <f t="shared" si="73"/>
        <v>0</v>
      </c>
      <c r="AC216" s="89">
        <f t="shared" si="61"/>
        <v>0</v>
      </c>
      <c r="AD216" s="89">
        <f t="shared" si="62"/>
        <v>0</v>
      </c>
      <c r="AE216" s="89">
        <f t="shared" si="63"/>
        <v>0</v>
      </c>
      <c r="AF216" s="89">
        <f t="shared" si="64"/>
        <v>0</v>
      </c>
      <c r="AG216" s="89">
        <f t="shared" si="65"/>
        <v>0</v>
      </c>
      <c r="AH216" s="89">
        <f t="shared" si="66"/>
        <v>0</v>
      </c>
      <c r="AI216" s="89">
        <v>0</v>
      </c>
      <c r="AJ216" s="89"/>
      <c r="AK216" s="89">
        <f>inputs!$E$40*F216</f>
        <v>31.48</v>
      </c>
      <c r="AL216" s="155">
        <f t="shared" si="83"/>
        <v>107.82935223617542</v>
      </c>
      <c r="AM216" s="120"/>
      <c r="AN216" s="120"/>
      <c r="AO216" s="120"/>
      <c r="AP216" s="120"/>
      <c r="AQ216" s="120"/>
      <c r="AR216" s="120"/>
      <c r="AX216" s="74"/>
      <c r="AY216" s="37" t="e">
        <f>SUM(AY199:AY215)</f>
        <v>#REF!</v>
      </c>
      <c r="AZ216" s="37">
        <v>939.87906334980266</v>
      </c>
    </row>
    <row r="217" spans="1:52" ht="24" thickBot="1">
      <c r="A217" s="121"/>
      <c r="B217" s="317"/>
      <c r="C217" s="85">
        <v>15</v>
      </c>
      <c r="D217" s="85" t="s">
        <v>528</v>
      </c>
      <c r="E217" s="151" t="s">
        <v>152</v>
      </c>
      <c r="F217" s="85">
        <v>1</v>
      </c>
      <c r="G217" s="85">
        <v>30</v>
      </c>
      <c r="H217" s="85">
        <v>0</v>
      </c>
      <c r="I217" s="85">
        <v>30</v>
      </c>
      <c r="J217" s="85">
        <v>30</v>
      </c>
      <c r="K217" s="85">
        <v>0</v>
      </c>
      <c r="L217" s="85">
        <v>0</v>
      </c>
      <c r="M217" s="85">
        <v>0</v>
      </c>
      <c r="N217" s="85">
        <v>0</v>
      </c>
      <c r="O217" s="85">
        <v>0</v>
      </c>
      <c r="P217" s="85">
        <v>0</v>
      </c>
      <c r="Q217" s="85">
        <v>0</v>
      </c>
      <c r="R217" s="85">
        <v>0</v>
      </c>
      <c r="S217" s="85">
        <v>0</v>
      </c>
      <c r="T217" s="85">
        <f t="shared" si="36"/>
        <v>60</v>
      </c>
      <c r="U217" s="89"/>
      <c r="V217" s="89">
        <f t="shared" si="84"/>
        <v>6.5257379574309189</v>
      </c>
      <c r="W217" s="89">
        <f t="shared" si="71"/>
        <v>0</v>
      </c>
      <c r="X217" s="89">
        <f t="shared" si="81"/>
        <v>32.299999999999997</v>
      </c>
      <c r="Y217" s="89">
        <f t="shared" ref="Y217:Y255" si="86">J217*$Y$3*F217</f>
        <v>25.106250000000003</v>
      </c>
      <c r="Z217" s="89">
        <f>IF(ISNUMBER(SEARCH("CCR4", E217)),(T217-K217)*$Z$3, 0)</f>
        <v>12.417364278744502</v>
      </c>
      <c r="AA217" s="89">
        <f t="shared" si="85"/>
        <v>0</v>
      </c>
      <c r="AB217" s="89">
        <f t="shared" si="73"/>
        <v>0</v>
      </c>
      <c r="AC217" s="89">
        <f t="shared" ref="AC217:AC255" si="87">(IF(ISNUMBER(SEARCH("CCR7", E217)),K217*$AC$3, 0))*F217</f>
        <v>0</v>
      </c>
      <c r="AD217" s="89">
        <f t="shared" ref="AD217:AD255" si="88">(IF(ISNUMBER(SEARCH("CCR8", E217)),K217*$AD$3, 0))*F217</f>
        <v>0</v>
      </c>
      <c r="AE217" s="89">
        <f t="shared" ref="AE217:AE255" si="89">IF(ISNUMBER(SEARCH("CCR9", E217)),K217*$AE$3*F217, 0)</f>
        <v>0</v>
      </c>
      <c r="AF217" s="89">
        <f t="shared" ref="AF217:AF255" si="90">(IF(ISNUMBER(SEARCH("CCR10", E217)),K217*$AF$3, 0))*F217</f>
        <v>0</v>
      </c>
      <c r="AG217" s="89">
        <f t="shared" ref="AG217:AG255" si="91">IF(ISNUMBER(SEARCH("CCR11", E217)),T217*$AG$3, 0)</f>
        <v>0</v>
      </c>
      <c r="AH217" s="89">
        <f t="shared" ref="AH217:AH255" si="92">(IF(ISNUMBER(SEARCH("CCR12", E217)),T217*$AH$3, 0))*F217</f>
        <v>0</v>
      </c>
      <c r="AI217" s="89">
        <v>0</v>
      </c>
      <c r="AJ217" s="89"/>
      <c r="AK217" s="89">
        <v>0</v>
      </c>
      <c r="AL217" s="156">
        <f t="shared" si="83"/>
        <v>76.34935223617542</v>
      </c>
      <c r="AM217" s="180"/>
      <c r="AN217" s="180"/>
      <c r="AO217" s="120"/>
      <c r="AP217" s="120"/>
      <c r="AQ217" s="120"/>
      <c r="AR217" s="120"/>
      <c r="AY217" s="74"/>
    </row>
    <row r="218" spans="1:52" ht="21" thickTop="1">
      <c r="A218" s="121"/>
      <c r="B218" s="318"/>
      <c r="C218" s="13"/>
      <c r="D218" s="8"/>
      <c r="E218" s="252" t="s">
        <v>552</v>
      </c>
      <c r="F218" s="119"/>
      <c r="G218" s="253">
        <f>($F207*G207)+($F208*G208)+($F209*G209)+($F210*G210)+($F211*G211)+($F212*G212)+($F213*G213)+($F214*G214)+($F215*G215)+($F216*G216)+($F217*G217)+($F206*G206)+($F205*G205)+($F204*G204)+($F203*G203)</f>
        <v>160</v>
      </c>
      <c r="H218" s="253">
        <f>($F207*H207)+($F208*H208)+($F209*H209)+($F210*H210)+($F211*H211)+($F212*H212)+($F213*H213)+($F214*H214)+($F215*H215)+($F216*H216)+($F217*H217)+($F206*H206)+($F205*H205)+($F204*H204)+($F203*H203)</f>
        <v>0</v>
      </c>
      <c r="I218" s="253">
        <f>($F207*I207)+($F208*I208)+($F209*I209)+($F210*I210)+($F211*I211)+($F212*I212)+($F213*I213)+($F214*I214)+($F215*I215)+($F216*I216)+($F217*I217)+($F206*I206)+($F205*I205)+($F204*I204)+($F203*I203)</f>
        <v>120</v>
      </c>
      <c r="J218" s="253">
        <f t="shared" ref="J218:T218" si="93">($F207*J207)+($F208*J208)+($F209*J209)+($F210*J210)+($F211*J211)+($F212*J212)+($F213*J213)+($F214*J214)+($F215*J215)+($F216*J216)+($F217*J217)+($F206*J206)+($F205*J205)+($F204*J204)+($F203*J203)</f>
        <v>185</v>
      </c>
      <c r="K218" s="253" t="e">
        <f t="shared" si="93"/>
        <v>#REF!</v>
      </c>
      <c r="L218" s="253">
        <f t="shared" si="93"/>
        <v>0</v>
      </c>
      <c r="M218" s="253">
        <f t="shared" si="93"/>
        <v>0</v>
      </c>
      <c r="N218" s="253">
        <f t="shared" si="93"/>
        <v>0</v>
      </c>
      <c r="O218" s="253">
        <f t="shared" si="93"/>
        <v>0</v>
      </c>
      <c r="P218" s="253">
        <f t="shared" si="93"/>
        <v>0</v>
      </c>
      <c r="Q218" s="253">
        <f t="shared" si="93"/>
        <v>0</v>
      </c>
      <c r="R218" s="253">
        <f t="shared" si="93"/>
        <v>0</v>
      </c>
      <c r="S218" s="253">
        <f t="shared" si="93"/>
        <v>0</v>
      </c>
      <c r="T218" s="253" t="e">
        <f t="shared" si="93"/>
        <v>#REF!</v>
      </c>
      <c r="U218" s="253">
        <f t="shared" ref="U218:AL218" si="94">SUM(U203:U217)</f>
        <v>0</v>
      </c>
      <c r="V218" s="253" t="e">
        <f t="shared" si="94"/>
        <v>#REF!</v>
      </c>
      <c r="W218" s="253">
        <f t="shared" si="94"/>
        <v>0</v>
      </c>
      <c r="X218" s="253">
        <f t="shared" si="94"/>
        <v>129.19999999999999</v>
      </c>
      <c r="Y218" s="253">
        <f t="shared" si="94"/>
        <v>154.82187500000003</v>
      </c>
      <c r="Z218" s="253">
        <f t="shared" si="94"/>
        <v>55.878139254350259</v>
      </c>
      <c r="AA218" s="253">
        <f t="shared" si="94"/>
        <v>0</v>
      </c>
      <c r="AB218" s="253" t="e">
        <f t="shared" si="94"/>
        <v>#REF!</v>
      </c>
      <c r="AC218" s="253">
        <f t="shared" si="94"/>
        <v>0</v>
      </c>
      <c r="AD218" s="253" t="e">
        <f t="shared" si="94"/>
        <v>#REF!</v>
      </c>
      <c r="AE218" s="253">
        <f t="shared" si="94"/>
        <v>0</v>
      </c>
      <c r="AF218" s="253" t="e">
        <f t="shared" si="94"/>
        <v>#REF!</v>
      </c>
      <c r="AG218" s="253">
        <f t="shared" si="94"/>
        <v>0</v>
      </c>
      <c r="AH218" s="253">
        <f t="shared" si="94"/>
        <v>0</v>
      </c>
      <c r="AI218" s="253">
        <f t="shared" si="94"/>
        <v>42.026833333333336</v>
      </c>
      <c r="AJ218" s="253">
        <f t="shared" si="94"/>
        <v>0</v>
      </c>
      <c r="AK218" s="253">
        <f t="shared" si="94"/>
        <v>31.48</v>
      </c>
      <c r="AL218" s="143" t="e">
        <f t="shared" si="94"/>
        <v>#REF!</v>
      </c>
      <c r="AM218" s="180"/>
      <c r="AN218" s="180"/>
      <c r="AO218" s="120"/>
      <c r="AP218" s="120"/>
      <c r="AQ218" s="120"/>
      <c r="AR218" s="120"/>
      <c r="AY218" s="74"/>
    </row>
    <row r="219" spans="1:52" ht="21" thickBot="1">
      <c r="A219" s="121"/>
      <c r="B219" s="120"/>
      <c r="C219" s="167"/>
      <c r="D219" s="120"/>
      <c r="E219" s="120"/>
      <c r="F219" s="109"/>
      <c r="G219" s="168"/>
      <c r="H219" s="176"/>
      <c r="I219" s="120"/>
      <c r="J219" s="120"/>
      <c r="K219" s="120"/>
      <c r="L219" s="120"/>
      <c r="M219" s="120"/>
      <c r="N219" s="120"/>
      <c r="O219" s="120"/>
      <c r="P219" s="120"/>
      <c r="Q219" s="120"/>
      <c r="R219" s="120"/>
      <c r="S219" s="120"/>
      <c r="T219" s="169"/>
      <c r="U219" s="169"/>
      <c r="V219" s="170"/>
      <c r="W219" s="159"/>
      <c r="X219" s="159"/>
      <c r="Y219" s="159"/>
      <c r="Z219" s="159"/>
      <c r="AA219" s="159"/>
      <c r="AB219" s="159"/>
      <c r="AC219" s="159"/>
      <c r="AD219" s="159"/>
      <c r="AE219" s="159"/>
      <c r="AF219" s="159"/>
      <c r="AG219" s="159"/>
      <c r="AH219" s="159"/>
      <c r="AI219" s="171"/>
      <c r="AJ219" s="120"/>
      <c r="AK219" s="120"/>
      <c r="AL219" s="170"/>
      <c r="AM219" s="180"/>
      <c r="AN219" s="180"/>
      <c r="AO219" s="120"/>
      <c r="AP219" s="120"/>
      <c r="AQ219" s="120"/>
      <c r="AR219" s="120"/>
      <c r="AY219" s="74"/>
    </row>
    <row r="220" spans="1:52" ht="24" customHeight="1" thickBot="1">
      <c r="A220" s="121"/>
      <c r="B220" s="305" t="s">
        <v>464</v>
      </c>
      <c r="C220" s="83">
        <v>1</v>
      </c>
      <c r="D220" s="83" t="s">
        <v>500</v>
      </c>
      <c r="E220" s="150" t="s">
        <v>52</v>
      </c>
      <c r="F220" s="83">
        <v>1</v>
      </c>
      <c r="G220" s="83">
        <v>15</v>
      </c>
      <c r="H220" s="83">
        <v>0</v>
      </c>
      <c r="I220" s="83">
        <v>0</v>
      </c>
      <c r="J220" s="83">
        <v>15</v>
      </c>
      <c r="K220" s="83">
        <v>0</v>
      </c>
      <c r="L220" s="83">
        <v>0</v>
      </c>
      <c r="M220" s="83">
        <v>0</v>
      </c>
      <c r="N220" s="83">
        <v>0</v>
      </c>
      <c r="O220" s="83">
        <v>0</v>
      </c>
      <c r="P220" s="83">
        <v>0</v>
      </c>
      <c r="Q220" s="83">
        <v>0</v>
      </c>
      <c r="R220" s="83">
        <v>0</v>
      </c>
      <c r="S220" s="83">
        <v>0</v>
      </c>
      <c r="T220" s="83">
        <f t="shared" si="36"/>
        <v>15</v>
      </c>
      <c r="U220" s="88"/>
      <c r="V220" s="88">
        <f t="shared" si="84"/>
        <v>1.6314344893577297</v>
      </c>
      <c r="W220" s="88">
        <f t="shared" si="71"/>
        <v>0</v>
      </c>
      <c r="X220" s="88">
        <f t="shared" si="81"/>
        <v>0</v>
      </c>
      <c r="Y220" s="88">
        <f t="shared" si="86"/>
        <v>12.553125000000001</v>
      </c>
      <c r="Z220" s="88">
        <f t="shared" ref="Z220" si="95">IF(ISNUMBER(SEARCH("CCR4", E220)),(T220-K220)*$Z$3, 0)</f>
        <v>0</v>
      </c>
      <c r="AA220" s="88">
        <f t="shared" si="85"/>
        <v>0</v>
      </c>
      <c r="AB220" s="88">
        <f t="shared" si="73"/>
        <v>0</v>
      </c>
      <c r="AC220" s="88">
        <f t="shared" si="87"/>
        <v>0</v>
      </c>
      <c r="AD220" s="88">
        <f t="shared" si="88"/>
        <v>0</v>
      </c>
      <c r="AE220" s="88">
        <f t="shared" si="89"/>
        <v>0</v>
      </c>
      <c r="AF220" s="88">
        <f t="shared" si="90"/>
        <v>0</v>
      </c>
      <c r="AG220" s="88">
        <f t="shared" si="91"/>
        <v>0</v>
      </c>
      <c r="AH220" s="88">
        <f t="shared" si="92"/>
        <v>0</v>
      </c>
      <c r="AI220" s="88">
        <v>0</v>
      </c>
      <c r="AJ220" s="88"/>
      <c r="AK220" s="88">
        <v>0</v>
      </c>
      <c r="AL220" s="174">
        <f t="shared" ref="AL220:AL236" si="96">SUM(V220:AK220)</f>
        <v>14.184559489357731</v>
      </c>
      <c r="AM220" s="180"/>
      <c r="AN220" s="180"/>
      <c r="AO220" s="120"/>
      <c r="AP220" s="120"/>
      <c r="AQ220" s="120"/>
      <c r="AR220" s="120"/>
      <c r="AT220" s="38" t="s">
        <v>194</v>
      </c>
      <c r="AU220" s="39" t="s">
        <v>24</v>
      </c>
      <c r="AX220" s="38" t="s">
        <v>378</v>
      </c>
      <c r="AY220" s="38" t="s">
        <v>304</v>
      </c>
    </row>
    <row r="221" spans="1:52" ht="23.25">
      <c r="A221" s="121"/>
      <c r="B221" s="306"/>
      <c r="C221" s="85">
        <v>2</v>
      </c>
      <c r="D221" s="85" t="s">
        <v>537</v>
      </c>
      <c r="E221" s="151" t="s">
        <v>163</v>
      </c>
      <c r="F221" s="85">
        <f>IF(AP227="no", 0, 1)</f>
        <v>0</v>
      </c>
      <c r="G221" s="85">
        <v>10</v>
      </c>
      <c r="H221" s="85">
        <v>0</v>
      </c>
      <c r="I221" s="85">
        <v>0</v>
      </c>
      <c r="J221" s="85">
        <v>30</v>
      </c>
      <c r="K221" s="85">
        <v>0</v>
      </c>
      <c r="L221" s="85">
        <v>0</v>
      </c>
      <c r="M221" s="85">
        <v>0</v>
      </c>
      <c r="N221" s="85">
        <v>0</v>
      </c>
      <c r="O221" s="85">
        <v>0</v>
      </c>
      <c r="P221" s="85">
        <v>0</v>
      </c>
      <c r="Q221" s="85">
        <v>10</v>
      </c>
      <c r="R221" s="85">
        <v>0</v>
      </c>
      <c r="S221" s="85">
        <v>0</v>
      </c>
      <c r="T221" s="85">
        <f t="shared" si="36"/>
        <v>0</v>
      </c>
      <c r="U221" s="89"/>
      <c r="V221" s="89">
        <f t="shared" si="84"/>
        <v>0</v>
      </c>
      <c r="W221" s="89">
        <f t="shared" si="71"/>
        <v>0</v>
      </c>
      <c r="X221" s="89">
        <f t="shared" si="81"/>
        <v>0</v>
      </c>
      <c r="Y221" s="89">
        <f t="shared" si="86"/>
        <v>0</v>
      </c>
      <c r="Z221" s="89">
        <f t="shared" si="72"/>
        <v>0</v>
      </c>
      <c r="AA221" s="89">
        <f t="shared" si="85"/>
        <v>0</v>
      </c>
      <c r="AB221" s="89">
        <f t="shared" si="73"/>
        <v>0</v>
      </c>
      <c r="AC221" s="89">
        <f t="shared" si="87"/>
        <v>0</v>
      </c>
      <c r="AD221" s="89">
        <f t="shared" si="88"/>
        <v>0</v>
      </c>
      <c r="AE221" s="89">
        <f t="shared" si="89"/>
        <v>0</v>
      </c>
      <c r="AF221" s="89">
        <f t="shared" si="90"/>
        <v>0</v>
      </c>
      <c r="AG221" s="89">
        <f t="shared" si="91"/>
        <v>0</v>
      </c>
      <c r="AH221" s="89">
        <f t="shared" si="92"/>
        <v>0</v>
      </c>
      <c r="AI221" s="89">
        <v>0</v>
      </c>
      <c r="AJ221" s="89"/>
      <c r="AK221" s="89">
        <v>0</v>
      </c>
      <c r="AL221" s="154">
        <f t="shared" si="96"/>
        <v>0</v>
      </c>
      <c r="AM221" s="120"/>
      <c r="AN221" s="120"/>
      <c r="AO221" s="243"/>
      <c r="AP221" s="243"/>
      <c r="AQ221" s="243"/>
      <c r="AR221" s="120"/>
      <c r="AT221" s="40" t="s">
        <v>278</v>
      </c>
      <c r="AU221" s="293" t="s">
        <v>371</v>
      </c>
      <c r="AX221" s="44" t="s">
        <v>225</v>
      </c>
      <c r="AY221" s="73">
        <f>SUM(AI220:AI236)+SUM(AK220:AK236)</f>
        <v>44.490600000000001</v>
      </c>
    </row>
    <row r="222" spans="1:52" ht="24" thickBot="1">
      <c r="A222" s="121"/>
      <c r="B222" s="306"/>
      <c r="C222" s="85" t="s">
        <v>305</v>
      </c>
      <c r="D222" s="85" t="s">
        <v>472</v>
      </c>
      <c r="E222" s="151" t="s">
        <v>147</v>
      </c>
      <c r="F222" s="85">
        <f>IF($AP$228="no", 0, 1)</f>
        <v>0</v>
      </c>
      <c r="G222" s="85">
        <v>30</v>
      </c>
      <c r="H222" s="85">
        <v>60</v>
      </c>
      <c r="I222" s="85">
        <v>0</v>
      </c>
      <c r="J222" s="85">
        <v>40</v>
      </c>
      <c r="K222" s="85">
        <v>0</v>
      </c>
      <c r="L222" s="85">
        <v>0</v>
      </c>
      <c r="M222" s="85">
        <v>40</v>
      </c>
      <c r="N222" s="85">
        <v>40</v>
      </c>
      <c r="O222" s="85">
        <v>0</v>
      </c>
      <c r="P222" s="85">
        <v>0</v>
      </c>
      <c r="Q222" s="85">
        <v>0</v>
      </c>
      <c r="R222" s="85">
        <v>0</v>
      </c>
      <c r="S222" s="85">
        <v>0</v>
      </c>
      <c r="T222" s="85">
        <f t="shared" si="36"/>
        <v>0</v>
      </c>
      <c r="U222" s="89"/>
      <c r="V222" s="89">
        <f t="shared" si="84"/>
        <v>0</v>
      </c>
      <c r="W222" s="89">
        <f t="shared" si="71"/>
        <v>0</v>
      </c>
      <c r="X222" s="89">
        <f t="shared" si="81"/>
        <v>0</v>
      </c>
      <c r="Y222" s="89">
        <f t="shared" si="86"/>
        <v>0</v>
      </c>
      <c r="Z222" s="89">
        <f t="shared" si="72"/>
        <v>0</v>
      </c>
      <c r="AA222" s="89">
        <f t="shared" si="85"/>
        <v>0</v>
      </c>
      <c r="AB222" s="89">
        <f t="shared" si="73"/>
        <v>0</v>
      </c>
      <c r="AC222" s="89">
        <f t="shared" si="87"/>
        <v>0</v>
      </c>
      <c r="AD222" s="89">
        <f t="shared" si="88"/>
        <v>0</v>
      </c>
      <c r="AE222" s="89">
        <f t="shared" si="89"/>
        <v>0</v>
      </c>
      <c r="AF222" s="89">
        <f t="shared" si="90"/>
        <v>0</v>
      </c>
      <c r="AG222" s="89">
        <f t="shared" si="91"/>
        <v>0</v>
      </c>
      <c r="AH222" s="89">
        <f t="shared" si="92"/>
        <v>0</v>
      </c>
      <c r="AI222" s="89">
        <v>0</v>
      </c>
      <c r="AJ222" s="89"/>
      <c r="AK222" s="89">
        <v>0</v>
      </c>
      <c r="AL222" s="154">
        <f t="shared" si="96"/>
        <v>0</v>
      </c>
      <c r="AM222" s="120"/>
      <c r="AN222" s="120"/>
      <c r="AO222" s="240" t="s">
        <v>451</v>
      </c>
      <c r="AP222" s="240" t="s">
        <v>49</v>
      </c>
      <c r="AQ222" s="240" t="s">
        <v>452</v>
      </c>
      <c r="AR222" s="120"/>
      <c r="AT222" s="41"/>
      <c r="AU222" s="294"/>
      <c r="AX222" s="44" t="s">
        <v>226</v>
      </c>
      <c r="AY222" s="73">
        <f>SUM(AJ220:AJ236)</f>
        <v>0</v>
      </c>
    </row>
    <row r="223" spans="1:52" ht="41.25" thickBot="1">
      <c r="A223" s="121"/>
      <c r="B223" s="306"/>
      <c r="C223" s="85" t="s">
        <v>306</v>
      </c>
      <c r="D223" s="85" t="s">
        <v>473</v>
      </c>
      <c r="E223" s="151" t="s">
        <v>151</v>
      </c>
      <c r="F223" s="85">
        <f>IF($AP$229="no", 0, 1)</f>
        <v>0</v>
      </c>
      <c r="G223" s="85">
        <v>60</v>
      </c>
      <c r="H223" s="85">
        <v>120</v>
      </c>
      <c r="I223" s="85">
        <v>0</v>
      </c>
      <c r="J223" s="85">
        <v>120</v>
      </c>
      <c r="K223" s="85">
        <v>0</v>
      </c>
      <c r="L223" s="85">
        <v>0</v>
      </c>
      <c r="M223" s="85">
        <v>0</v>
      </c>
      <c r="N223" s="85">
        <v>0</v>
      </c>
      <c r="O223" s="85">
        <v>40</v>
      </c>
      <c r="P223" s="85">
        <v>40</v>
      </c>
      <c r="Q223" s="85">
        <v>20</v>
      </c>
      <c r="R223" s="85">
        <v>0</v>
      </c>
      <c r="S223" s="85">
        <v>0</v>
      </c>
      <c r="T223" s="85">
        <f t="shared" si="36"/>
        <v>0</v>
      </c>
      <c r="U223" s="89"/>
      <c r="V223" s="89">
        <f t="shared" si="84"/>
        <v>0</v>
      </c>
      <c r="W223" s="89">
        <f t="shared" si="71"/>
        <v>0</v>
      </c>
      <c r="X223" s="89">
        <f t="shared" si="81"/>
        <v>0</v>
      </c>
      <c r="Y223" s="89">
        <f t="shared" si="86"/>
        <v>0</v>
      </c>
      <c r="Z223" s="89">
        <f t="shared" si="72"/>
        <v>0</v>
      </c>
      <c r="AA223" s="89">
        <f t="shared" si="85"/>
        <v>0</v>
      </c>
      <c r="AB223" s="89">
        <f t="shared" si="73"/>
        <v>0</v>
      </c>
      <c r="AC223" s="89">
        <f t="shared" si="87"/>
        <v>0</v>
      </c>
      <c r="AD223" s="89">
        <f t="shared" si="88"/>
        <v>0</v>
      </c>
      <c r="AE223" s="89">
        <f t="shared" si="89"/>
        <v>0</v>
      </c>
      <c r="AF223" s="89">
        <f t="shared" si="90"/>
        <v>0</v>
      </c>
      <c r="AG223" s="89">
        <f t="shared" si="91"/>
        <v>0</v>
      </c>
      <c r="AH223" s="89">
        <f t="shared" si="92"/>
        <v>0</v>
      </c>
      <c r="AI223" s="89">
        <v>0</v>
      </c>
      <c r="AJ223" s="89"/>
      <c r="AK223" s="89">
        <v>0</v>
      </c>
      <c r="AL223" s="154">
        <f t="shared" si="96"/>
        <v>0</v>
      </c>
      <c r="AM223" s="120"/>
      <c r="AN223" s="120"/>
      <c r="AO223" s="202" t="s">
        <v>91</v>
      </c>
      <c r="AP223" s="83" t="s">
        <v>265</v>
      </c>
      <c r="AQ223" s="203" t="s">
        <v>67</v>
      </c>
      <c r="AR223" s="120"/>
      <c r="AT223" s="42" t="s">
        <v>199</v>
      </c>
      <c r="AU223" s="43"/>
      <c r="AX223" s="44" t="s">
        <v>205</v>
      </c>
      <c r="AY223" s="73">
        <f>SUM(V220:V236)</f>
        <v>33.901208688853622</v>
      </c>
    </row>
    <row r="224" spans="1:52" ht="23.25">
      <c r="A224" s="121"/>
      <c r="B224" s="306"/>
      <c r="C224" s="85">
        <v>3</v>
      </c>
      <c r="D224" s="85" t="s">
        <v>550</v>
      </c>
      <c r="E224" s="151" t="s">
        <v>152</v>
      </c>
      <c r="F224" s="85">
        <v>1</v>
      </c>
      <c r="G224" s="85">
        <v>30</v>
      </c>
      <c r="H224" s="85">
        <v>0</v>
      </c>
      <c r="I224" s="85">
        <v>30</v>
      </c>
      <c r="J224" s="85">
        <v>30</v>
      </c>
      <c r="K224" s="85">
        <v>0</v>
      </c>
      <c r="L224" s="85">
        <v>0</v>
      </c>
      <c r="M224" s="85">
        <v>0</v>
      </c>
      <c r="N224" s="85">
        <v>0</v>
      </c>
      <c r="O224" s="85">
        <v>0</v>
      </c>
      <c r="P224" s="85">
        <v>0</v>
      </c>
      <c r="Q224" s="85">
        <v>0</v>
      </c>
      <c r="R224" s="85">
        <v>0</v>
      </c>
      <c r="S224" s="85">
        <v>0</v>
      </c>
      <c r="T224" s="85">
        <f t="shared" si="36"/>
        <v>60</v>
      </c>
      <c r="U224" s="89"/>
      <c r="V224" s="89">
        <f t="shared" si="84"/>
        <v>6.5257379574309189</v>
      </c>
      <c r="W224" s="89">
        <f t="shared" si="71"/>
        <v>0</v>
      </c>
      <c r="X224" s="89">
        <f t="shared" si="81"/>
        <v>32.299999999999997</v>
      </c>
      <c r="Y224" s="89">
        <f t="shared" si="86"/>
        <v>25.106250000000003</v>
      </c>
      <c r="Z224" s="89">
        <f>IF(ISNUMBER(SEARCH("CCR4", E224)),(T224-K224)*$Z$3, 0)</f>
        <v>12.417364278744502</v>
      </c>
      <c r="AA224" s="89">
        <f t="shared" si="85"/>
        <v>0</v>
      </c>
      <c r="AB224" s="89">
        <f t="shared" si="73"/>
        <v>0</v>
      </c>
      <c r="AC224" s="89">
        <f t="shared" si="87"/>
        <v>0</v>
      </c>
      <c r="AD224" s="89">
        <f t="shared" si="88"/>
        <v>0</v>
      </c>
      <c r="AE224" s="89">
        <f t="shared" si="89"/>
        <v>0</v>
      </c>
      <c r="AF224" s="89">
        <f t="shared" si="90"/>
        <v>0</v>
      </c>
      <c r="AG224" s="89">
        <f t="shared" si="91"/>
        <v>0</v>
      </c>
      <c r="AH224" s="89">
        <f t="shared" si="92"/>
        <v>0</v>
      </c>
      <c r="AI224" s="89">
        <v>0</v>
      </c>
      <c r="AJ224" s="89"/>
      <c r="AK224" s="89">
        <v>0</v>
      </c>
      <c r="AL224" s="153">
        <f t="shared" si="96"/>
        <v>76.34935223617542</v>
      </c>
      <c r="AM224" s="120"/>
      <c r="AN224" s="120"/>
      <c r="AO224" s="192" t="s">
        <v>59</v>
      </c>
      <c r="AP224" s="85" t="s">
        <v>18</v>
      </c>
      <c r="AQ224" s="186" t="s">
        <v>57</v>
      </c>
      <c r="AR224" s="120"/>
      <c r="AT224" s="44" t="s">
        <v>222</v>
      </c>
      <c r="AU224" s="45">
        <f>SUM(AL220:AL223)</f>
        <v>14.184559489357731</v>
      </c>
      <c r="AX224" s="44" t="s">
        <v>206</v>
      </c>
      <c r="AY224" s="73">
        <f>SUM(W220:W236)</f>
        <v>57.543749999999996</v>
      </c>
    </row>
    <row r="225" spans="1:51" ht="23.25">
      <c r="A225" s="121"/>
      <c r="B225" s="306"/>
      <c r="C225" s="85">
        <v>5</v>
      </c>
      <c r="D225" s="85" t="s">
        <v>469</v>
      </c>
      <c r="E225" s="151" t="s">
        <v>52</v>
      </c>
      <c r="F225" s="85">
        <v>0</v>
      </c>
      <c r="G225" s="85">
        <v>10</v>
      </c>
      <c r="H225" s="85">
        <v>0</v>
      </c>
      <c r="I225" s="85">
        <v>0</v>
      </c>
      <c r="J225" s="85">
        <v>5</v>
      </c>
      <c r="K225" s="85">
        <v>0</v>
      </c>
      <c r="L225" s="85">
        <v>0</v>
      </c>
      <c r="M225" s="85">
        <v>0</v>
      </c>
      <c r="N225" s="85">
        <v>0</v>
      </c>
      <c r="O225" s="85">
        <v>0</v>
      </c>
      <c r="P225" s="85">
        <v>0</v>
      </c>
      <c r="Q225" s="85">
        <v>0</v>
      </c>
      <c r="R225" s="85">
        <v>0</v>
      </c>
      <c r="S225" s="85">
        <v>0</v>
      </c>
      <c r="T225" s="85">
        <f t="shared" si="36"/>
        <v>0</v>
      </c>
      <c r="U225" s="89"/>
      <c r="V225" s="89">
        <f t="shared" si="84"/>
        <v>0</v>
      </c>
      <c r="W225" s="89">
        <f t="shared" si="71"/>
        <v>0</v>
      </c>
      <c r="X225" s="89">
        <f t="shared" si="81"/>
        <v>0</v>
      </c>
      <c r="Y225" s="89">
        <f t="shared" si="86"/>
        <v>0</v>
      </c>
      <c r="Z225" s="89">
        <f t="shared" si="72"/>
        <v>0</v>
      </c>
      <c r="AA225" s="89">
        <f t="shared" si="85"/>
        <v>0</v>
      </c>
      <c r="AB225" s="89">
        <f t="shared" si="73"/>
        <v>0</v>
      </c>
      <c r="AC225" s="89">
        <f t="shared" si="87"/>
        <v>0</v>
      </c>
      <c r="AD225" s="89">
        <f t="shared" si="88"/>
        <v>0</v>
      </c>
      <c r="AE225" s="89">
        <f t="shared" si="89"/>
        <v>0</v>
      </c>
      <c r="AF225" s="89">
        <f t="shared" si="90"/>
        <v>0</v>
      </c>
      <c r="AG225" s="89">
        <f t="shared" si="91"/>
        <v>0</v>
      </c>
      <c r="AH225" s="89">
        <f t="shared" si="92"/>
        <v>0</v>
      </c>
      <c r="AI225" s="89">
        <v>0</v>
      </c>
      <c r="AJ225" s="89"/>
      <c r="AK225" s="89">
        <v>0</v>
      </c>
      <c r="AL225" s="153">
        <f t="shared" si="96"/>
        <v>0</v>
      </c>
      <c r="AM225" s="120"/>
      <c r="AN225" s="120"/>
      <c r="AO225" s="192" t="s">
        <v>281</v>
      </c>
      <c r="AP225" s="85">
        <v>1</v>
      </c>
      <c r="AQ225" s="186" t="s">
        <v>87</v>
      </c>
      <c r="AR225" s="120"/>
      <c r="AT225" s="44" t="s">
        <v>200</v>
      </c>
      <c r="AU225" s="45">
        <f>SUM(AL224:AL230)</f>
        <v>94.130786725533142</v>
      </c>
      <c r="AX225" s="44" t="s">
        <v>279</v>
      </c>
      <c r="AY225" s="73">
        <f>SUM(X220:X236)</f>
        <v>123.81666666666665</v>
      </c>
    </row>
    <row r="226" spans="1:51" ht="23.25">
      <c r="A226" s="121"/>
      <c r="B226" s="306"/>
      <c r="C226" s="85">
        <v>6</v>
      </c>
      <c r="D226" s="85" t="s">
        <v>544</v>
      </c>
      <c r="E226" s="151" t="s">
        <v>152</v>
      </c>
      <c r="F226" s="85">
        <f>AP225-F224</f>
        <v>0</v>
      </c>
      <c r="G226" s="85">
        <v>30</v>
      </c>
      <c r="H226" s="85">
        <v>0</v>
      </c>
      <c r="I226" s="85">
        <v>30</v>
      </c>
      <c r="J226" s="85">
        <v>30</v>
      </c>
      <c r="K226" s="85">
        <v>0</v>
      </c>
      <c r="L226" s="85">
        <v>0</v>
      </c>
      <c r="M226" s="85">
        <v>0</v>
      </c>
      <c r="N226" s="85">
        <v>0</v>
      </c>
      <c r="O226" s="85">
        <v>0</v>
      </c>
      <c r="P226" s="85">
        <v>0</v>
      </c>
      <c r="Q226" s="85">
        <v>0</v>
      </c>
      <c r="R226" s="85">
        <v>0</v>
      </c>
      <c r="S226" s="85">
        <v>0</v>
      </c>
      <c r="T226" s="85">
        <f>SUM(H226:S226)*F226</f>
        <v>0</v>
      </c>
      <c r="U226" s="89"/>
      <c r="V226" s="89">
        <f t="shared" si="84"/>
        <v>0</v>
      </c>
      <c r="W226" s="89">
        <f t="shared" ref="W226:W255" si="97">H226*$W$3*F226</f>
        <v>0</v>
      </c>
      <c r="X226" s="89">
        <f t="shared" si="81"/>
        <v>0</v>
      </c>
      <c r="Y226" s="89">
        <f t="shared" si="86"/>
        <v>0</v>
      </c>
      <c r="Z226" s="89">
        <f>IF(ISNUMBER(SEARCH("CCR4", E226)),(T226-K226)*$Z$3, 0)</f>
        <v>0</v>
      </c>
      <c r="AA226" s="89">
        <f t="shared" si="85"/>
        <v>0</v>
      </c>
      <c r="AB226" s="89">
        <f t="shared" ref="AB226:AB255" si="98">K226*$AB$3*F226</f>
        <v>0</v>
      </c>
      <c r="AC226" s="89">
        <f t="shared" si="87"/>
        <v>0</v>
      </c>
      <c r="AD226" s="89">
        <f t="shared" si="88"/>
        <v>0</v>
      </c>
      <c r="AE226" s="89">
        <f t="shared" si="89"/>
        <v>0</v>
      </c>
      <c r="AF226" s="89">
        <f t="shared" si="90"/>
        <v>0</v>
      </c>
      <c r="AG226" s="89">
        <f t="shared" si="91"/>
        <v>0</v>
      </c>
      <c r="AH226" s="89">
        <f t="shared" si="92"/>
        <v>0</v>
      </c>
      <c r="AI226" s="89">
        <v>0</v>
      </c>
      <c r="AJ226" s="89">
        <f>IF(AP223="stimulated", inputs!E27, 0)</f>
        <v>0</v>
      </c>
      <c r="AK226" s="89">
        <v>0</v>
      </c>
      <c r="AL226" s="153">
        <f t="shared" si="96"/>
        <v>0</v>
      </c>
      <c r="AM226" s="120"/>
      <c r="AN226" s="120"/>
      <c r="AO226" s="192" t="s">
        <v>210</v>
      </c>
      <c r="AP226" s="85" t="s">
        <v>18</v>
      </c>
      <c r="AQ226" s="186" t="s">
        <v>45</v>
      </c>
      <c r="AR226" s="120"/>
      <c r="AT226" s="44" t="s">
        <v>201</v>
      </c>
      <c r="AU226" s="45"/>
      <c r="AX226" s="44" t="s">
        <v>122</v>
      </c>
      <c r="AY226" s="73">
        <f>SUM(Y220:Y236)</f>
        <v>96.240625000000009</v>
      </c>
    </row>
    <row r="227" spans="1:51" ht="23.25">
      <c r="A227" s="121"/>
      <c r="B227" s="306"/>
      <c r="C227" s="85">
        <v>7</v>
      </c>
      <c r="D227" s="85" t="s">
        <v>545</v>
      </c>
      <c r="E227" s="151" t="s">
        <v>152</v>
      </c>
      <c r="F227" s="85">
        <f>IF(AP226="no", 0, 1)</f>
        <v>0</v>
      </c>
      <c r="G227" s="85">
        <v>30</v>
      </c>
      <c r="H227" s="85">
        <v>0</v>
      </c>
      <c r="I227" s="85">
        <v>30</v>
      </c>
      <c r="J227" s="85">
        <v>30</v>
      </c>
      <c r="K227" s="85">
        <v>0</v>
      </c>
      <c r="L227" s="85">
        <v>0</v>
      </c>
      <c r="M227" s="85">
        <v>0</v>
      </c>
      <c r="N227" s="85">
        <v>0</v>
      </c>
      <c r="O227" s="85">
        <v>0</v>
      </c>
      <c r="P227" s="85">
        <v>0</v>
      </c>
      <c r="Q227" s="85">
        <v>0</v>
      </c>
      <c r="R227" s="85">
        <v>0</v>
      </c>
      <c r="S227" s="85">
        <v>0</v>
      </c>
      <c r="T227" s="85">
        <f t="shared" si="36"/>
        <v>0</v>
      </c>
      <c r="U227" s="89"/>
      <c r="V227" s="89">
        <f t="shared" si="84"/>
        <v>0</v>
      </c>
      <c r="W227" s="89">
        <f t="shared" si="97"/>
        <v>0</v>
      </c>
      <c r="X227" s="89">
        <f t="shared" si="81"/>
        <v>0</v>
      </c>
      <c r="Y227" s="89">
        <f t="shared" si="86"/>
        <v>0</v>
      </c>
      <c r="Z227" s="89">
        <f t="shared" ref="Z227:Z234" si="99">IF(ISNUMBER(SEARCH("CCR4", E227)),(T227-K227)*$Z$3, 0)</f>
        <v>0</v>
      </c>
      <c r="AA227" s="89">
        <f t="shared" si="85"/>
        <v>0</v>
      </c>
      <c r="AB227" s="89">
        <f t="shared" si="98"/>
        <v>0</v>
      </c>
      <c r="AC227" s="89">
        <f t="shared" si="87"/>
        <v>0</v>
      </c>
      <c r="AD227" s="89">
        <f t="shared" si="88"/>
        <v>0</v>
      </c>
      <c r="AE227" s="89">
        <f t="shared" si="89"/>
        <v>0</v>
      </c>
      <c r="AF227" s="89">
        <f t="shared" si="90"/>
        <v>0</v>
      </c>
      <c r="AG227" s="89">
        <f t="shared" si="91"/>
        <v>0</v>
      </c>
      <c r="AH227" s="89">
        <f t="shared" si="92"/>
        <v>0</v>
      </c>
      <c r="AI227" s="89">
        <v>0</v>
      </c>
      <c r="AJ227" s="89"/>
      <c r="AK227" s="89">
        <v>0</v>
      </c>
      <c r="AL227" s="153">
        <f t="shared" si="96"/>
        <v>0</v>
      </c>
      <c r="AM227" s="120"/>
      <c r="AN227" s="120"/>
      <c r="AO227" s="192" t="s">
        <v>59</v>
      </c>
      <c r="AP227" s="85" t="s">
        <v>18</v>
      </c>
      <c r="AQ227" s="186" t="s">
        <v>45</v>
      </c>
      <c r="AR227" s="120"/>
      <c r="AT227" s="44" t="s">
        <v>223</v>
      </c>
      <c r="AU227" s="45">
        <f>SUM(AL231:AL233)</f>
        <v>234.85113679617217</v>
      </c>
      <c r="AX227" s="44" t="s">
        <v>207</v>
      </c>
      <c r="AY227" s="73">
        <f>SUM(Z220:Z236)</f>
        <v>31.043410696861255</v>
      </c>
    </row>
    <row r="228" spans="1:51" ht="23.25">
      <c r="A228" s="121"/>
      <c r="B228" s="306"/>
      <c r="C228" s="85">
        <v>8</v>
      </c>
      <c r="D228" s="85" t="s">
        <v>546</v>
      </c>
      <c r="E228" s="151"/>
      <c r="F228" s="85">
        <v>1</v>
      </c>
      <c r="G228" s="85">
        <v>0</v>
      </c>
      <c r="H228" s="85">
        <v>0</v>
      </c>
      <c r="I228" s="85">
        <v>0</v>
      </c>
      <c r="J228" s="85">
        <v>0</v>
      </c>
      <c r="K228" s="85">
        <v>0</v>
      </c>
      <c r="L228" s="85">
        <v>0</v>
      </c>
      <c r="M228" s="85">
        <v>0</v>
      </c>
      <c r="N228" s="85">
        <v>0</v>
      </c>
      <c r="O228" s="85">
        <v>0</v>
      </c>
      <c r="P228" s="85">
        <v>0</v>
      </c>
      <c r="Q228" s="85">
        <v>0</v>
      </c>
      <c r="R228" s="85">
        <v>0</v>
      </c>
      <c r="S228" s="85">
        <v>0</v>
      </c>
      <c r="T228" s="85">
        <f t="shared" si="36"/>
        <v>0</v>
      </c>
      <c r="U228" s="89"/>
      <c r="V228" s="89">
        <f t="shared" si="84"/>
        <v>0</v>
      </c>
      <c r="W228" s="89">
        <f t="shared" si="97"/>
        <v>0</v>
      </c>
      <c r="X228" s="89">
        <f t="shared" si="81"/>
        <v>0</v>
      </c>
      <c r="Y228" s="89">
        <f t="shared" si="86"/>
        <v>0</v>
      </c>
      <c r="Z228" s="89">
        <f t="shared" si="99"/>
        <v>0</v>
      </c>
      <c r="AA228" s="89">
        <f t="shared" si="85"/>
        <v>0</v>
      </c>
      <c r="AB228" s="89">
        <f t="shared" si="98"/>
        <v>0</v>
      </c>
      <c r="AC228" s="89">
        <f t="shared" si="87"/>
        <v>0</v>
      </c>
      <c r="AD228" s="89">
        <f t="shared" si="88"/>
        <v>0</v>
      </c>
      <c r="AE228" s="89">
        <f t="shared" si="89"/>
        <v>0</v>
      </c>
      <c r="AF228" s="89">
        <f t="shared" si="90"/>
        <v>0</v>
      </c>
      <c r="AG228" s="89">
        <f t="shared" si="91"/>
        <v>0</v>
      </c>
      <c r="AH228" s="89">
        <f t="shared" si="92"/>
        <v>0</v>
      </c>
      <c r="AI228" s="89">
        <v>0</v>
      </c>
      <c r="AJ228" s="89"/>
      <c r="AK228" s="89">
        <v>0</v>
      </c>
      <c r="AL228" s="153">
        <f t="shared" si="96"/>
        <v>0</v>
      </c>
      <c r="AM228" s="170"/>
      <c r="AN228" s="170"/>
      <c r="AO228" s="192" t="s">
        <v>47</v>
      </c>
      <c r="AP228" s="85" t="s">
        <v>18</v>
      </c>
      <c r="AQ228" s="186" t="s">
        <v>45</v>
      </c>
      <c r="AR228" s="120"/>
      <c r="AT228" s="44" t="s">
        <v>202</v>
      </c>
      <c r="AU228" s="45"/>
      <c r="AX228" s="44" t="s">
        <v>123</v>
      </c>
      <c r="AY228" s="73">
        <f>SUM(AA220:AA236)</f>
        <v>0</v>
      </c>
    </row>
    <row r="229" spans="1:51" ht="23.25">
      <c r="A229" s="121"/>
      <c r="B229" s="306"/>
      <c r="C229" s="85">
        <v>9</v>
      </c>
      <c r="D229" s="85" t="s">
        <v>547</v>
      </c>
      <c r="E229" s="151"/>
      <c r="F229" s="85">
        <f>IF(AP223="stimulated", 1, 0)</f>
        <v>0</v>
      </c>
      <c r="G229" s="85">
        <v>0</v>
      </c>
      <c r="H229" s="85">
        <v>0</v>
      </c>
      <c r="I229" s="85">
        <v>0</v>
      </c>
      <c r="J229" s="85">
        <v>0</v>
      </c>
      <c r="K229" s="85">
        <v>0</v>
      </c>
      <c r="L229" s="85">
        <v>0</v>
      </c>
      <c r="M229" s="85">
        <v>0</v>
      </c>
      <c r="N229" s="85">
        <v>0</v>
      </c>
      <c r="O229" s="85">
        <v>0</v>
      </c>
      <c r="P229" s="85">
        <v>0</v>
      </c>
      <c r="Q229" s="85">
        <v>0</v>
      </c>
      <c r="R229" s="85">
        <v>0</v>
      </c>
      <c r="S229" s="85">
        <v>0</v>
      </c>
      <c r="T229" s="85">
        <f t="shared" si="36"/>
        <v>0</v>
      </c>
      <c r="U229" s="89"/>
      <c r="V229" s="89">
        <f t="shared" si="84"/>
        <v>0</v>
      </c>
      <c r="W229" s="89">
        <f t="shared" si="97"/>
        <v>0</v>
      </c>
      <c r="X229" s="89">
        <f t="shared" si="81"/>
        <v>0</v>
      </c>
      <c r="Y229" s="89">
        <f t="shared" si="86"/>
        <v>0</v>
      </c>
      <c r="Z229" s="89">
        <f t="shared" si="99"/>
        <v>0</v>
      </c>
      <c r="AA229" s="89">
        <f t="shared" si="85"/>
        <v>0</v>
      </c>
      <c r="AB229" s="89">
        <f t="shared" si="98"/>
        <v>0</v>
      </c>
      <c r="AC229" s="89">
        <f t="shared" si="87"/>
        <v>0</v>
      </c>
      <c r="AD229" s="89">
        <f t="shared" si="88"/>
        <v>0</v>
      </c>
      <c r="AE229" s="89">
        <f t="shared" si="89"/>
        <v>0</v>
      </c>
      <c r="AF229" s="89">
        <f t="shared" si="90"/>
        <v>0</v>
      </c>
      <c r="AG229" s="89">
        <f t="shared" si="91"/>
        <v>0</v>
      </c>
      <c r="AH229" s="89">
        <f t="shared" si="92"/>
        <v>0</v>
      </c>
      <c r="AI229" s="89">
        <v>0</v>
      </c>
      <c r="AJ229" s="89">
        <f>inputs!E30*F229</f>
        <v>0</v>
      </c>
      <c r="AK229" s="89">
        <v>0</v>
      </c>
      <c r="AL229" s="153">
        <f t="shared" si="96"/>
        <v>0</v>
      </c>
      <c r="AM229" s="120"/>
      <c r="AN229" s="120"/>
      <c r="AO229" s="193" t="s">
        <v>46</v>
      </c>
      <c r="AP229" s="87" t="s">
        <v>18</v>
      </c>
      <c r="AQ229" s="194" t="s">
        <v>45</v>
      </c>
      <c r="AR229" s="120"/>
      <c r="AT229" s="44" t="s">
        <v>224</v>
      </c>
      <c r="AU229" s="45"/>
      <c r="AX229" s="44" t="s">
        <v>208</v>
      </c>
      <c r="AY229" s="73">
        <f>SUM(AB220:AB235)</f>
        <v>107.9010543154762</v>
      </c>
    </row>
    <row r="230" spans="1:51" ht="24" thickBot="1">
      <c r="A230" s="121"/>
      <c r="B230" s="306"/>
      <c r="C230" s="85">
        <v>10</v>
      </c>
      <c r="D230" s="85" t="s">
        <v>90</v>
      </c>
      <c r="E230" s="151" t="s">
        <v>51</v>
      </c>
      <c r="F230" s="85">
        <f>IF(AP223="stimulated", 0, 1)</f>
        <v>1</v>
      </c>
      <c r="G230" s="85">
        <v>0</v>
      </c>
      <c r="H230" s="85">
        <v>0</v>
      </c>
      <c r="I230" s="85">
        <v>15</v>
      </c>
      <c r="J230" s="85">
        <v>0</v>
      </c>
      <c r="K230" s="85">
        <v>0</v>
      </c>
      <c r="L230" s="85">
        <v>0</v>
      </c>
      <c r="M230" s="85">
        <v>0</v>
      </c>
      <c r="N230" s="85">
        <v>0</v>
      </c>
      <c r="O230" s="85">
        <v>0</v>
      </c>
      <c r="P230" s="85">
        <v>0</v>
      </c>
      <c r="Q230" s="85">
        <v>0</v>
      </c>
      <c r="R230" s="85">
        <v>0</v>
      </c>
      <c r="S230" s="85">
        <v>0</v>
      </c>
      <c r="T230" s="85">
        <f t="shared" si="36"/>
        <v>15</v>
      </c>
      <c r="U230" s="89"/>
      <c r="V230" s="89">
        <f t="shared" si="84"/>
        <v>1.6314344893577297</v>
      </c>
      <c r="W230" s="89">
        <f t="shared" si="97"/>
        <v>0</v>
      </c>
      <c r="X230" s="89">
        <f t="shared" si="81"/>
        <v>16.149999999999999</v>
      </c>
      <c r="Y230" s="89">
        <f t="shared" si="86"/>
        <v>0</v>
      </c>
      <c r="Z230" s="89">
        <f t="shared" si="99"/>
        <v>0</v>
      </c>
      <c r="AA230" s="89">
        <f t="shared" si="85"/>
        <v>0</v>
      </c>
      <c r="AB230" s="89">
        <f t="shared" si="98"/>
        <v>0</v>
      </c>
      <c r="AC230" s="89">
        <f t="shared" si="87"/>
        <v>0</v>
      </c>
      <c r="AD230" s="89">
        <f t="shared" si="88"/>
        <v>0</v>
      </c>
      <c r="AE230" s="89">
        <f t="shared" si="89"/>
        <v>0</v>
      </c>
      <c r="AF230" s="89">
        <f t="shared" si="90"/>
        <v>0</v>
      </c>
      <c r="AG230" s="89">
        <f t="shared" si="91"/>
        <v>0</v>
      </c>
      <c r="AH230" s="89">
        <f t="shared" si="92"/>
        <v>0</v>
      </c>
      <c r="AI230" s="89">
        <v>0</v>
      </c>
      <c r="AJ230" s="89"/>
      <c r="AK230" s="89">
        <v>0</v>
      </c>
      <c r="AL230" s="153">
        <f t="shared" si="96"/>
        <v>17.781434489357729</v>
      </c>
      <c r="AM230" s="120"/>
      <c r="AN230" s="120"/>
      <c r="AO230" s="120"/>
      <c r="AP230" s="120"/>
      <c r="AQ230" s="120"/>
      <c r="AR230" s="120"/>
      <c r="AT230" s="44" t="s">
        <v>203</v>
      </c>
      <c r="AU230" s="50">
        <f>SUM(AL234:AL236)</f>
        <v>174.84465335426313</v>
      </c>
      <c r="AX230" s="44" t="s">
        <v>209</v>
      </c>
      <c r="AY230" s="73">
        <f>SUM(AC220:AC236)</f>
        <v>23.073820997468438</v>
      </c>
    </row>
    <row r="231" spans="1:51" ht="24" thickTop="1">
      <c r="A231" s="121"/>
      <c r="B231" s="306"/>
      <c r="C231" s="85">
        <v>11</v>
      </c>
      <c r="D231" s="85" t="s">
        <v>548</v>
      </c>
      <c r="E231" s="151" t="s">
        <v>132</v>
      </c>
      <c r="F231" s="85">
        <f>IF($AP$226="no", 1, 0)</f>
        <v>1</v>
      </c>
      <c r="G231" s="85">
        <v>0</v>
      </c>
      <c r="H231" s="85">
        <v>0</v>
      </c>
      <c r="I231" s="85">
        <v>0</v>
      </c>
      <c r="J231" s="85">
        <v>0</v>
      </c>
      <c r="K231" s="85">
        <v>9</v>
      </c>
      <c r="L231" s="85">
        <v>0</v>
      </c>
      <c r="M231" s="85">
        <v>0</v>
      </c>
      <c r="N231" s="85">
        <v>0</v>
      </c>
      <c r="O231" s="85">
        <v>0</v>
      </c>
      <c r="P231" s="85">
        <v>0</v>
      </c>
      <c r="Q231" s="85">
        <v>0</v>
      </c>
      <c r="R231" s="85">
        <v>0</v>
      </c>
      <c r="S231" s="85">
        <v>0</v>
      </c>
      <c r="T231" s="85">
        <f t="shared" ref="T231:T236" si="100">SUM(H231:S231)*F231</f>
        <v>9</v>
      </c>
      <c r="U231" s="89"/>
      <c r="V231" s="89">
        <f t="shared" si="84"/>
        <v>0.97886069361463779</v>
      </c>
      <c r="W231" s="89">
        <f t="shared" si="97"/>
        <v>0</v>
      </c>
      <c r="X231" s="89">
        <f t="shared" si="81"/>
        <v>0</v>
      </c>
      <c r="Y231" s="89">
        <f t="shared" si="86"/>
        <v>0</v>
      </c>
      <c r="Z231" s="89">
        <f t="shared" si="99"/>
        <v>0</v>
      </c>
      <c r="AA231" s="89">
        <f t="shared" si="85"/>
        <v>0</v>
      </c>
      <c r="AB231" s="89">
        <f t="shared" si="98"/>
        <v>18.783549107142857</v>
      </c>
      <c r="AC231" s="89">
        <f t="shared" si="87"/>
        <v>4.0167193225767104</v>
      </c>
      <c r="AD231" s="89">
        <f t="shared" si="88"/>
        <v>0</v>
      </c>
      <c r="AE231" s="89">
        <f t="shared" si="89"/>
        <v>0</v>
      </c>
      <c r="AF231" s="89">
        <f t="shared" si="90"/>
        <v>0</v>
      </c>
      <c r="AG231" s="89">
        <f t="shared" si="91"/>
        <v>0</v>
      </c>
      <c r="AH231" s="89">
        <f t="shared" si="92"/>
        <v>0</v>
      </c>
      <c r="AI231" s="89">
        <v>0</v>
      </c>
      <c r="AJ231" s="89"/>
      <c r="AK231" s="89">
        <v>0</v>
      </c>
      <c r="AL231" s="175">
        <f t="shared" si="96"/>
        <v>23.779129123334208</v>
      </c>
      <c r="AM231" s="120"/>
      <c r="AN231" s="120"/>
      <c r="AO231" s="121"/>
      <c r="AP231" s="120"/>
      <c r="AQ231" s="120"/>
      <c r="AR231" s="120"/>
      <c r="AT231" s="47" t="s">
        <v>204</v>
      </c>
      <c r="AU231" s="37">
        <f>SUM(AU224:AU230)</f>
        <v>518.01113636532614</v>
      </c>
      <c r="AX231" s="44" t="s">
        <v>191</v>
      </c>
      <c r="AY231" s="73">
        <f>SUM(AD220:AD236)</f>
        <v>0</v>
      </c>
    </row>
    <row r="232" spans="1:51" ht="23.25">
      <c r="A232" s="121"/>
      <c r="B232" s="306"/>
      <c r="C232" s="85">
        <v>12</v>
      </c>
      <c r="D232" s="85" t="s">
        <v>510</v>
      </c>
      <c r="E232" s="151" t="s">
        <v>148</v>
      </c>
      <c r="F232" s="85">
        <f>IF($AP$226="no", 1, 0)</f>
        <v>1</v>
      </c>
      <c r="G232" s="85">
        <v>0</v>
      </c>
      <c r="H232" s="85">
        <v>0</v>
      </c>
      <c r="I232" s="85">
        <v>0</v>
      </c>
      <c r="J232" s="85">
        <v>0</v>
      </c>
      <c r="K232" s="85">
        <f>37*F232</f>
        <v>37</v>
      </c>
      <c r="L232" s="85">
        <v>0</v>
      </c>
      <c r="M232" s="85">
        <v>0</v>
      </c>
      <c r="N232" s="85">
        <v>0</v>
      </c>
      <c r="O232" s="85">
        <v>0</v>
      </c>
      <c r="P232" s="85">
        <v>0</v>
      </c>
      <c r="Q232" s="85">
        <v>0</v>
      </c>
      <c r="R232" s="85">
        <v>0</v>
      </c>
      <c r="S232" s="85">
        <v>0</v>
      </c>
      <c r="T232" s="85">
        <f t="shared" si="100"/>
        <v>37</v>
      </c>
      <c r="U232" s="89"/>
      <c r="V232" s="89">
        <f t="shared" si="84"/>
        <v>4.0242050737490667</v>
      </c>
      <c r="W232" s="89">
        <f t="shared" si="97"/>
        <v>0</v>
      </c>
      <c r="X232" s="89">
        <f t="shared" si="81"/>
        <v>0</v>
      </c>
      <c r="Y232" s="89">
        <f t="shared" si="86"/>
        <v>0</v>
      </c>
      <c r="Z232" s="89">
        <f t="shared" si="99"/>
        <v>0</v>
      </c>
      <c r="AA232" s="89">
        <f t="shared" si="85"/>
        <v>0</v>
      </c>
      <c r="AB232" s="89">
        <f t="shared" si="98"/>
        <v>77.221257440476194</v>
      </c>
      <c r="AC232" s="89">
        <f t="shared" si="87"/>
        <v>16.513179437259808</v>
      </c>
      <c r="AD232" s="89">
        <f t="shared" si="88"/>
        <v>0</v>
      </c>
      <c r="AE232" s="89">
        <f t="shared" si="89"/>
        <v>0</v>
      </c>
      <c r="AF232" s="89">
        <f t="shared" si="90"/>
        <v>0</v>
      </c>
      <c r="AG232" s="89">
        <f t="shared" si="91"/>
        <v>0</v>
      </c>
      <c r="AH232" s="89">
        <f t="shared" si="92"/>
        <v>0</v>
      </c>
      <c r="AI232" s="89">
        <v>0</v>
      </c>
      <c r="AJ232" s="89"/>
      <c r="AK232" s="89">
        <v>0</v>
      </c>
      <c r="AL232" s="175">
        <f t="shared" si="96"/>
        <v>97.758641951485075</v>
      </c>
      <c r="AM232" s="120"/>
      <c r="AN232" s="120"/>
      <c r="AO232" s="121"/>
      <c r="AP232" s="120"/>
      <c r="AQ232" s="120"/>
      <c r="AR232" s="120"/>
      <c r="AX232" s="44" t="s">
        <v>192</v>
      </c>
      <c r="AY232" s="73"/>
    </row>
    <row r="233" spans="1:51" ht="23.25">
      <c r="A233" s="121"/>
      <c r="B233" s="306"/>
      <c r="C233" s="85">
        <v>13</v>
      </c>
      <c r="D233" s="85" t="s">
        <v>549</v>
      </c>
      <c r="E233" s="151" t="s">
        <v>161</v>
      </c>
      <c r="F233" s="85">
        <f>IF($AP$226="no", 1, 0)</f>
        <v>1</v>
      </c>
      <c r="G233" s="85">
        <v>0</v>
      </c>
      <c r="H233" s="85">
        <v>0</v>
      </c>
      <c r="I233" s="85">
        <v>40</v>
      </c>
      <c r="J233" s="85">
        <v>40</v>
      </c>
      <c r="K233" s="85">
        <v>5.7</v>
      </c>
      <c r="L233" s="85">
        <v>0</v>
      </c>
      <c r="M233" s="85">
        <v>0</v>
      </c>
      <c r="N233" s="85">
        <v>0</v>
      </c>
      <c r="O233" s="85">
        <v>0</v>
      </c>
      <c r="P233" s="85">
        <v>0</v>
      </c>
      <c r="Q233" s="85">
        <v>0</v>
      </c>
      <c r="R233" s="85">
        <v>0</v>
      </c>
      <c r="S233" s="85">
        <v>0</v>
      </c>
      <c r="T233" s="85">
        <f t="shared" si="100"/>
        <v>85.7</v>
      </c>
      <c r="U233" s="89"/>
      <c r="V233" s="89">
        <f t="shared" si="84"/>
        <v>9.3209290491971633</v>
      </c>
      <c r="W233" s="89">
        <f t="shared" si="97"/>
        <v>0</v>
      </c>
      <c r="X233" s="89">
        <f t="shared" si="81"/>
        <v>43.066666666666663</v>
      </c>
      <c r="Y233" s="89">
        <f t="shared" si="86"/>
        <v>33.475000000000009</v>
      </c>
      <c r="Z233" s="89">
        <f t="shared" si="99"/>
        <v>0</v>
      </c>
      <c r="AA233" s="89">
        <f t="shared" si="85"/>
        <v>0</v>
      </c>
      <c r="AB233" s="89">
        <f t="shared" si="98"/>
        <v>11.896247767857144</v>
      </c>
      <c r="AC233" s="89">
        <f t="shared" si="87"/>
        <v>2.5439222376319166</v>
      </c>
      <c r="AD233" s="89">
        <f t="shared" si="88"/>
        <v>0</v>
      </c>
      <c r="AE233" s="89">
        <f t="shared" si="89"/>
        <v>0</v>
      </c>
      <c r="AF233" s="89">
        <f t="shared" si="90"/>
        <v>0</v>
      </c>
      <c r="AG233" s="89">
        <f t="shared" si="91"/>
        <v>0</v>
      </c>
      <c r="AH233" s="89">
        <f t="shared" si="92"/>
        <v>0</v>
      </c>
      <c r="AI233" s="89">
        <f>inputs!E45*F233</f>
        <v>13.0106</v>
      </c>
      <c r="AJ233" s="89"/>
      <c r="AK233" s="89">
        <v>0</v>
      </c>
      <c r="AL233" s="175">
        <f t="shared" si="96"/>
        <v>113.31336572135289</v>
      </c>
      <c r="AM233" s="170"/>
      <c r="AN233" s="170"/>
      <c r="AO233" s="121"/>
      <c r="AP233" s="120"/>
      <c r="AQ233" s="120"/>
      <c r="AR233" s="120"/>
      <c r="AX233" s="44" t="s">
        <v>193</v>
      </c>
      <c r="AY233" s="73"/>
    </row>
    <row r="234" spans="1:51" ht="23.25">
      <c r="A234" s="121"/>
      <c r="B234" s="306"/>
      <c r="C234" s="85">
        <v>14</v>
      </c>
      <c r="D234" s="85" t="s">
        <v>483</v>
      </c>
      <c r="E234" s="151"/>
      <c r="F234" s="85">
        <v>1</v>
      </c>
      <c r="G234" s="85">
        <v>0</v>
      </c>
      <c r="H234" s="85">
        <v>0</v>
      </c>
      <c r="I234" s="85">
        <v>0</v>
      </c>
      <c r="J234" s="85">
        <v>0</v>
      </c>
      <c r="K234" s="85">
        <v>0</v>
      </c>
      <c r="L234" s="85">
        <v>0</v>
      </c>
      <c r="M234" s="85">
        <v>0</v>
      </c>
      <c r="N234" s="85">
        <v>0</v>
      </c>
      <c r="O234" s="85">
        <v>0</v>
      </c>
      <c r="P234" s="85">
        <v>0</v>
      </c>
      <c r="Q234" s="85">
        <v>0</v>
      </c>
      <c r="R234" s="85">
        <v>0</v>
      </c>
      <c r="S234" s="85">
        <v>0</v>
      </c>
      <c r="T234" s="85">
        <f t="shared" si="100"/>
        <v>0</v>
      </c>
      <c r="U234" s="89"/>
      <c r="V234" s="89">
        <f t="shared" si="84"/>
        <v>0</v>
      </c>
      <c r="W234" s="89">
        <f t="shared" si="97"/>
        <v>0</v>
      </c>
      <c r="X234" s="89">
        <f t="shared" si="81"/>
        <v>0</v>
      </c>
      <c r="Y234" s="89">
        <f t="shared" si="86"/>
        <v>0</v>
      </c>
      <c r="Z234" s="89">
        <f t="shared" si="99"/>
        <v>0</v>
      </c>
      <c r="AA234" s="89">
        <f t="shared" si="85"/>
        <v>0</v>
      </c>
      <c r="AB234" s="89">
        <f t="shared" si="98"/>
        <v>0</v>
      </c>
      <c r="AC234" s="89">
        <f t="shared" si="87"/>
        <v>0</v>
      </c>
      <c r="AD234" s="89">
        <f t="shared" si="88"/>
        <v>0</v>
      </c>
      <c r="AE234" s="89">
        <f t="shared" si="89"/>
        <v>0</v>
      </c>
      <c r="AF234" s="89">
        <f t="shared" si="90"/>
        <v>0</v>
      </c>
      <c r="AG234" s="89">
        <f t="shared" si="91"/>
        <v>0</v>
      </c>
      <c r="AH234" s="89">
        <f t="shared" si="92"/>
        <v>0</v>
      </c>
      <c r="AI234" s="89">
        <v>0</v>
      </c>
      <c r="AJ234" s="89"/>
      <c r="AK234" s="89">
        <v>0</v>
      </c>
      <c r="AL234" s="155">
        <f t="shared" si="96"/>
        <v>0</v>
      </c>
      <c r="AM234" s="120"/>
      <c r="AN234" s="120"/>
      <c r="AO234" s="121"/>
      <c r="AP234" s="120"/>
      <c r="AQ234" s="120"/>
      <c r="AR234" s="120"/>
      <c r="AX234" s="44" t="s">
        <v>146</v>
      </c>
      <c r="AY234" s="73"/>
    </row>
    <row r="235" spans="1:51" ht="23.25">
      <c r="A235" s="121"/>
      <c r="B235" s="306"/>
      <c r="C235" s="85">
        <v>15</v>
      </c>
      <c r="D235" s="85" t="s">
        <v>529</v>
      </c>
      <c r="E235" s="151" t="s">
        <v>150</v>
      </c>
      <c r="F235" s="85">
        <f>IF($AP$226="yes", 0, 1)</f>
        <v>1</v>
      </c>
      <c r="G235" s="85">
        <v>30</v>
      </c>
      <c r="H235" s="85">
        <v>0</v>
      </c>
      <c r="I235" s="85">
        <v>30</v>
      </c>
      <c r="J235" s="85">
        <v>30</v>
      </c>
      <c r="K235" s="85">
        <v>0</v>
      </c>
      <c r="L235" s="85">
        <v>0</v>
      </c>
      <c r="M235" s="85">
        <v>0</v>
      </c>
      <c r="N235" s="85">
        <v>0</v>
      </c>
      <c r="O235" s="85">
        <v>0</v>
      </c>
      <c r="P235" s="85">
        <v>0</v>
      </c>
      <c r="Q235" s="85">
        <v>0</v>
      </c>
      <c r="R235" s="85">
        <v>0</v>
      </c>
      <c r="S235" s="85">
        <v>0</v>
      </c>
      <c r="T235" s="85">
        <f t="shared" si="100"/>
        <v>60</v>
      </c>
      <c r="U235" s="89"/>
      <c r="V235" s="89">
        <f t="shared" si="84"/>
        <v>6.5257379574309189</v>
      </c>
      <c r="W235" s="89">
        <f t="shared" si="97"/>
        <v>0</v>
      </c>
      <c r="X235" s="89">
        <f t="shared" si="81"/>
        <v>32.299999999999997</v>
      </c>
      <c r="Y235" s="89">
        <f t="shared" si="86"/>
        <v>25.106250000000003</v>
      </c>
      <c r="Z235" s="89">
        <f>IF(ISNUMBER(SEARCH("CCR4", E235)),(T235-K235)*$Z$3, 0)</f>
        <v>12.417364278744502</v>
      </c>
      <c r="AA235" s="89">
        <f t="shared" si="85"/>
        <v>0</v>
      </c>
      <c r="AB235" s="89">
        <f t="shared" si="98"/>
        <v>0</v>
      </c>
      <c r="AC235" s="89">
        <f t="shared" si="87"/>
        <v>0</v>
      </c>
      <c r="AD235" s="89">
        <f t="shared" si="88"/>
        <v>0</v>
      </c>
      <c r="AE235" s="89">
        <f t="shared" si="89"/>
        <v>0</v>
      </c>
      <c r="AF235" s="89">
        <f t="shared" si="90"/>
        <v>0</v>
      </c>
      <c r="AG235" s="89">
        <f t="shared" si="91"/>
        <v>0</v>
      </c>
      <c r="AH235" s="89">
        <f t="shared" si="92"/>
        <v>0</v>
      </c>
      <c r="AI235" s="89">
        <v>0</v>
      </c>
      <c r="AJ235" s="89"/>
      <c r="AK235" s="89">
        <v>0</v>
      </c>
      <c r="AL235" s="155">
        <f t="shared" si="96"/>
        <v>76.34935223617542</v>
      </c>
      <c r="AM235" s="120"/>
      <c r="AN235" s="120"/>
      <c r="AO235" s="120"/>
      <c r="AP235" s="120"/>
      <c r="AQ235" s="120"/>
      <c r="AR235" s="120"/>
      <c r="AX235" s="44" t="s">
        <v>285</v>
      </c>
      <c r="AY235" s="45"/>
    </row>
    <row r="236" spans="1:51" ht="24" thickBot="1">
      <c r="A236" s="121"/>
      <c r="B236" s="306"/>
      <c r="C236" s="85">
        <v>16</v>
      </c>
      <c r="D236" s="85" t="s">
        <v>528</v>
      </c>
      <c r="E236" s="151" t="s">
        <v>150</v>
      </c>
      <c r="F236" s="85">
        <v>1</v>
      </c>
      <c r="G236" s="85">
        <v>30</v>
      </c>
      <c r="H236" s="85">
        <v>30</v>
      </c>
      <c r="I236" s="85">
        <v>0</v>
      </c>
      <c r="J236" s="85">
        <v>0</v>
      </c>
      <c r="K236" s="85">
        <v>0</v>
      </c>
      <c r="L236" s="85">
        <v>0</v>
      </c>
      <c r="M236" s="85">
        <v>0</v>
      </c>
      <c r="N236" s="85">
        <v>0</v>
      </c>
      <c r="O236" s="85">
        <v>0</v>
      </c>
      <c r="P236" s="85">
        <v>0</v>
      </c>
      <c r="Q236" s="85">
        <v>0</v>
      </c>
      <c r="R236" s="85">
        <v>0</v>
      </c>
      <c r="S236" s="85">
        <v>0</v>
      </c>
      <c r="T236" s="85">
        <f t="shared" si="100"/>
        <v>30</v>
      </c>
      <c r="U236" s="89"/>
      <c r="V236" s="89">
        <f t="shared" si="84"/>
        <v>3.2628689787154594</v>
      </c>
      <c r="W236" s="89">
        <f t="shared" si="97"/>
        <v>57.543749999999996</v>
      </c>
      <c r="X236" s="89">
        <f t="shared" si="81"/>
        <v>0</v>
      </c>
      <c r="Y236" s="89">
        <f t="shared" si="86"/>
        <v>0</v>
      </c>
      <c r="Z236" s="89">
        <f>IF(ISNUMBER(SEARCH("CCR4", E236)),(T236-K236)*$Z$3, 0)</f>
        <v>6.2086821393722511</v>
      </c>
      <c r="AA236" s="89">
        <f t="shared" si="85"/>
        <v>0</v>
      </c>
      <c r="AB236" s="89">
        <f t="shared" si="98"/>
        <v>0</v>
      </c>
      <c r="AC236" s="89">
        <f t="shared" si="87"/>
        <v>0</v>
      </c>
      <c r="AD236" s="89">
        <f t="shared" si="88"/>
        <v>0</v>
      </c>
      <c r="AE236" s="89">
        <f t="shared" si="89"/>
        <v>0</v>
      </c>
      <c r="AF236" s="89">
        <f t="shared" si="90"/>
        <v>0</v>
      </c>
      <c r="AG236" s="89">
        <f t="shared" si="91"/>
        <v>0</v>
      </c>
      <c r="AH236" s="89">
        <f t="shared" si="92"/>
        <v>0</v>
      </c>
      <c r="AI236" s="89">
        <v>0</v>
      </c>
      <c r="AJ236" s="89"/>
      <c r="AK236" s="89">
        <f>inputs!E40*F236</f>
        <v>31.48</v>
      </c>
      <c r="AL236" s="156">
        <f t="shared" si="96"/>
        <v>98.49530111808771</v>
      </c>
      <c r="AM236" s="180"/>
      <c r="AN236" s="180"/>
      <c r="AO236" s="120"/>
      <c r="AP236" s="120"/>
      <c r="AQ236" s="120"/>
      <c r="AR236" s="120"/>
      <c r="AX236" s="44"/>
      <c r="AY236" s="37">
        <f>SUM(AY221:AY235)</f>
        <v>518.01113636532614</v>
      </c>
    </row>
    <row r="237" spans="1:51" ht="21" thickTop="1">
      <c r="A237" s="121"/>
      <c r="B237" s="307"/>
      <c r="C237" s="13"/>
      <c r="D237" s="8"/>
      <c r="E237" s="252" t="s">
        <v>552</v>
      </c>
      <c r="F237" s="119"/>
      <c r="G237" s="253">
        <f>($F226*G226)+($F227*G227)+($F228*G228)+($F229*G229)+($F230*G230)+($F231*G231)+($F232*G232)+($F233*G233)+($F234*G234)+($F235*G235)+($F236*G236)+($F225*G225)+($F224*G224)+($F223*G223)+($F222*G222)+$F221*G221+$F220*G220</f>
        <v>105</v>
      </c>
      <c r="H237" s="253">
        <f>($F226*H226)+($F227*H227)+($F228*H228)+($F229*H229)+($F230*H230)+($F231*H231)+($F232*H232)+($F233*H233)+($F234*H234)+($F235*H235)+($F236*H236)+($F225*H225)+($F224*H224)+($F223*H223)+($F222*H222)+$F221*H221+$F220*H220</f>
        <v>30</v>
      </c>
      <c r="I237" s="253">
        <f t="shared" ref="I237:S237" si="101">($F226*I226)+($F227*I227)+($F228*I228)+($F229*I229)+($F230*I230)+($F231*I231)+($F232*I232)+($F233*I233)+($F234*I234)+($F235*I235)+($F236*I236)+($F225*I225)+($F224*I224)+($F223*I223)+($F222*I222)+$F221*I221+$F220*I220</f>
        <v>115</v>
      </c>
      <c r="J237" s="253">
        <f t="shared" si="101"/>
        <v>115</v>
      </c>
      <c r="K237" s="253">
        <f t="shared" si="101"/>
        <v>51.7</v>
      </c>
      <c r="L237" s="253">
        <f t="shared" si="101"/>
        <v>0</v>
      </c>
      <c r="M237" s="253">
        <f t="shared" si="101"/>
        <v>0</v>
      </c>
      <c r="N237" s="253">
        <f t="shared" si="101"/>
        <v>0</v>
      </c>
      <c r="O237" s="253">
        <f t="shared" si="101"/>
        <v>0</v>
      </c>
      <c r="P237" s="253">
        <f t="shared" si="101"/>
        <v>0</v>
      </c>
      <c r="Q237" s="253">
        <f t="shared" si="101"/>
        <v>0</v>
      </c>
      <c r="R237" s="253">
        <f t="shared" si="101"/>
        <v>0</v>
      </c>
      <c r="S237" s="253">
        <f t="shared" si="101"/>
        <v>0</v>
      </c>
      <c r="T237" s="253">
        <f t="shared" ref="T237:AL237" si="102">SUM(T220:T236)</f>
        <v>311.7</v>
      </c>
      <c r="U237" s="253">
        <f t="shared" si="102"/>
        <v>0</v>
      </c>
      <c r="V237" s="253">
        <f t="shared" si="102"/>
        <v>33.901208688853622</v>
      </c>
      <c r="W237" s="253">
        <f t="shared" si="102"/>
        <v>57.543749999999996</v>
      </c>
      <c r="X237" s="253">
        <f t="shared" si="102"/>
        <v>123.81666666666665</v>
      </c>
      <c r="Y237" s="253">
        <f t="shared" si="102"/>
        <v>96.240625000000009</v>
      </c>
      <c r="Z237" s="253">
        <f t="shared" si="102"/>
        <v>31.043410696861255</v>
      </c>
      <c r="AA237" s="253">
        <f t="shared" si="102"/>
        <v>0</v>
      </c>
      <c r="AB237" s="253">
        <f t="shared" si="102"/>
        <v>107.9010543154762</v>
      </c>
      <c r="AC237" s="253">
        <f t="shared" si="102"/>
        <v>23.073820997468438</v>
      </c>
      <c r="AD237" s="253">
        <f t="shared" si="102"/>
        <v>0</v>
      </c>
      <c r="AE237" s="253">
        <f t="shared" si="102"/>
        <v>0</v>
      </c>
      <c r="AF237" s="253">
        <f t="shared" si="102"/>
        <v>0</v>
      </c>
      <c r="AG237" s="253">
        <f t="shared" si="102"/>
        <v>0</v>
      </c>
      <c r="AH237" s="253">
        <f t="shared" si="102"/>
        <v>0</v>
      </c>
      <c r="AI237" s="253">
        <f t="shared" si="102"/>
        <v>13.0106</v>
      </c>
      <c r="AJ237" s="253">
        <f t="shared" si="102"/>
        <v>0</v>
      </c>
      <c r="AK237" s="253">
        <f t="shared" si="102"/>
        <v>31.48</v>
      </c>
      <c r="AL237" s="143">
        <f t="shared" si="102"/>
        <v>518.01113636532625</v>
      </c>
      <c r="AM237" s="180"/>
      <c r="AN237" s="180"/>
      <c r="AO237" s="120"/>
      <c r="AP237" s="120"/>
      <c r="AQ237" s="120"/>
      <c r="AR237" s="120"/>
      <c r="AX237" s="44"/>
      <c r="AY237" s="37"/>
    </row>
    <row r="238" spans="1:51" ht="20.25">
      <c r="A238" s="121"/>
      <c r="B238" s="120"/>
      <c r="C238" s="167"/>
      <c r="D238" s="120"/>
      <c r="E238" s="120"/>
      <c r="F238" s="109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68"/>
      <c r="R238" s="168"/>
      <c r="S238" s="168"/>
      <c r="T238" s="169"/>
      <c r="U238" s="169"/>
      <c r="V238" s="170"/>
      <c r="W238" s="159"/>
      <c r="X238" s="159"/>
      <c r="Y238" s="159"/>
      <c r="Z238" s="159"/>
      <c r="AA238" s="159"/>
      <c r="AB238" s="159"/>
      <c r="AC238" s="159"/>
      <c r="AD238" s="159"/>
      <c r="AE238" s="159"/>
      <c r="AF238" s="159"/>
      <c r="AG238" s="159"/>
      <c r="AH238" s="159"/>
      <c r="AI238" s="171"/>
      <c r="AJ238" s="120"/>
      <c r="AK238" s="120"/>
      <c r="AL238" s="170"/>
      <c r="AM238" s="180"/>
      <c r="AN238" s="180"/>
      <c r="AO238" s="120"/>
      <c r="AP238" s="120"/>
      <c r="AQ238" s="120"/>
      <c r="AR238" s="120"/>
      <c r="AX238" s="44"/>
      <c r="AY238" s="37"/>
    </row>
    <row r="239" spans="1:51" ht="24" customHeight="1" thickBot="1">
      <c r="A239" s="121"/>
      <c r="B239" s="302" t="s">
        <v>419</v>
      </c>
      <c r="C239" s="83">
        <v>1</v>
      </c>
      <c r="D239" s="83" t="s">
        <v>500</v>
      </c>
      <c r="E239" s="150"/>
      <c r="F239" s="83">
        <v>1</v>
      </c>
      <c r="G239" s="83">
        <v>15</v>
      </c>
      <c r="H239" s="83">
        <v>0</v>
      </c>
      <c r="I239" s="83">
        <v>0</v>
      </c>
      <c r="J239" s="83">
        <v>15</v>
      </c>
      <c r="K239" s="83">
        <v>0</v>
      </c>
      <c r="L239" s="83">
        <v>0</v>
      </c>
      <c r="M239" s="83">
        <v>0</v>
      </c>
      <c r="N239" s="83">
        <v>0</v>
      </c>
      <c r="O239" s="83">
        <v>0</v>
      </c>
      <c r="P239" s="83">
        <v>0</v>
      </c>
      <c r="Q239" s="83">
        <v>0</v>
      </c>
      <c r="R239" s="83">
        <v>0</v>
      </c>
      <c r="S239" s="83">
        <v>0</v>
      </c>
      <c r="T239" s="83">
        <f t="shared" ref="T239:T244" si="103">SUM(H239:S239)*F239</f>
        <v>15</v>
      </c>
      <c r="U239" s="83"/>
      <c r="V239" s="88">
        <f t="shared" si="84"/>
        <v>1.6314344893577297</v>
      </c>
      <c r="W239" s="88">
        <f t="shared" si="97"/>
        <v>0</v>
      </c>
      <c r="X239" s="88">
        <f t="shared" si="81"/>
        <v>0</v>
      </c>
      <c r="Y239" s="88">
        <f t="shared" si="86"/>
        <v>12.553125000000001</v>
      </c>
      <c r="Z239" s="88">
        <f t="shared" ref="Z239:Z242" si="104">IF(ISNUMBER(SEARCH("CCR4", E239)),(T239-K239)*$Z$3, 0)</f>
        <v>0</v>
      </c>
      <c r="AA239" s="88">
        <f t="shared" si="85"/>
        <v>0</v>
      </c>
      <c r="AB239" s="88">
        <f t="shared" si="98"/>
        <v>0</v>
      </c>
      <c r="AC239" s="88">
        <f t="shared" si="87"/>
        <v>0</v>
      </c>
      <c r="AD239" s="88">
        <f t="shared" si="88"/>
        <v>0</v>
      </c>
      <c r="AE239" s="88">
        <f t="shared" si="89"/>
        <v>0</v>
      </c>
      <c r="AF239" s="88">
        <f t="shared" si="90"/>
        <v>0</v>
      </c>
      <c r="AG239" s="88">
        <f t="shared" si="91"/>
        <v>0</v>
      </c>
      <c r="AH239" s="88">
        <f t="shared" si="92"/>
        <v>0</v>
      </c>
      <c r="AI239" s="88">
        <v>0</v>
      </c>
      <c r="AJ239" s="88"/>
      <c r="AK239" s="88">
        <v>0</v>
      </c>
      <c r="AL239" s="174">
        <f t="shared" ref="AL239:AL255" si="105">SUM(V239:AK239)</f>
        <v>14.184559489357731</v>
      </c>
      <c r="AM239" s="180"/>
      <c r="AN239" s="180"/>
      <c r="AO239" s="120"/>
      <c r="AP239" s="120"/>
      <c r="AQ239" s="120"/>
      <c r="AR239" s="120"/>
      <c r="AT239" s="205" t="s">
        <v>194</v>
      </c>
      <c r="AU239" s="206" t="s">
        <v>24</v>
      </c>
      <c r="AX239" s="205" t="s">
        <v>378</v>
      </c>
      <c r="AY239" s="205" t="s">
        <v>384</v>
      </c>
    </row>
    <row r="240" spans="1:51" customFormat="1" ht="23.25">
      <c r="A240" s="121"/>
      <c r="B240" s="303"/>
      <c r="C240" s="85">
        <v>2</v>
      </c>
      <c r="D240" s="85" t="s">
        <v>537</v>
      </c>
      <c r="E240" s="151" t="s">
        <v>163</v>
      </c>
      <c r="F240" s="85">
        <f>IF(AP246="no", 0, 1)</f>
        <v>0</v>
      </c>
      <c r="G240" s="85">
        <v>0</v>
      </c>
      <c r="H240" s="85">
        <v>0</v>
      </c>
      <c r="I240" s="85">
        <v>0</v>
      </c>
      <c r="J240" s="85">
        <v>30</v>
      </c>
      <c r="K240" s="85">
        <v>0</v>
      </c>
      <c r="L240" s="85">
        <v>0</v>
      </c>
      <c r="M240" s="85">
        <v>0</v>
      </c>
      <c r="N240" s="85">
        <v>0</v>
      </c>
      <c r="O240" s="85">
        <v>0</v>
      </c>
      <c r="P240" s="85">
        <v>0</v>
      </c>
      <c r="Q240" s="85">
        <v>10</v>
      </c>
      <c r="R240" s="85">
        <v>0</v>
      </c>
      <c r="S240" s="85">
        <v>0</v>
      </c>
      <c r="T240" s="85">
        <f t="shared" si="103"/>
        <v>0</v>
      </c>
      <c r="U240" s="85"/>
      <c r="V240" s="89">
        <f t="shared" si="84"/>
        <v>0</v>
      </c>
      <c r="W240" s="89">
        <f t="shared" si="97"/>
        <v>0</v>
      </c>
      <c r="X240" s="89">
        <f t="shared" si="81"/>
        <v>0</v>
      </c>
      <c r="Y240" s="89">
        <f t="shared" si="86"/>
        <v>0</v>
      </c>
      <c r="Z240" s="89">
        <f t="shared" si="104"/>
        <v>0</v>
      </c>
      <c r="AA240" s="89">
        <f t="shared" si="85"/>
        <v>0</v>
      </c>
      <c r="AB240" s="89">
        <f t="shared" si="98"/>
        <v>0</v>
      </c>
      <c r="AC240" s="89">
        <f t="shared" si="87"/>
        <v>0</v>
      </c>
      <c r="AD240" s="89">
        <f t="shared" si="88"/>
        <v>0</v>
      </c>
      <c r="AE240" s="89">
        <f t="shared" si="89"/>
        <v>0</v>
      </c>
      <c r="AF240" s="89">
        <f t="shared" si="90"/>
        <v>0</v>
      </c>
      <c r="AG240" s="89">
        <f t="shared" si="91"/>
        <v>0</v>
      </c>
      <c r="AH240" s="89">
        <f t="shared" si="92"/>
        <v>0</v>
      </c>
      <c r="AI240" s="89">
        <v>0</v>
      </c>
      <c r="AJ240" s="89"/>
      <c r="AK240" s="89">
        <v>0</v>
      </c>
      <c r="AL240" s="154">
        <f t="shared" si="105"/>
        <v>0</v>
      </c>
      <c r="AM240" s="120"/>
      <c r="AN240" s="120"/>
      <c r="AO240" s="243"/>
      <c r="AP240" s="243"/>
      <c r="AQ240" s="243"/>
      <c r="AR240" s="120"/>
      <c r="AS240" s="121"/>
      <c r="AT240" s="40" t="s">
        <v>278</v>
      </c>
      <c r="AU240" s="293" t="s">
        <v>372</v>
      </c>
      <c r="AX240" s="44" t="s">
        <v>225</v>
      </c>
      <c r="AY240" s="73">
        <f>SUM(AI239:AI255)+SUM(AK239:AK255)</f>
        <v>205.37631428571427</v>
      </c>
    </row>
    <row r="241" spans="1:51" customFormat="1" ht="24" thickBot="1">
      <c r="A241" s="121"/>
      <c r="B241" s="303"/>
      <c r="C241" s="85" t="s">
        <v>305</v>
      </c>
      <c r="D241" s="85" t="s">
        <v>472</v>
      </c>
      <c r="E241" s="151" t="s">
        <v>147</v>
      </c>
      <c r="F241" s="85">
        <f>IF($AP$247="no", 0, 1)</f>
        <v>0</v>
      </c>
      <c r="G241" s="85">
        <v>0</v>
      </c>
      <c r="H241" s="85">
        <v>60</v>
      </c>
      <c r="I241" s="85">
        <v>0</v>
      </c>
      <c r="J241" s="85">
        <v>40</v>
      </c>
      <c r="K241" s="85">
        <v>0</v>
      </c>
      <c r="L241" s="85">
        <v>0</v>
      </c>
      <c r="M241" s="85">
        <v>40</v>
      </c>
      <c r="N241" s="85">
        <v>40</v>
      </c>
      <c r="O241" s="85">
        <v>0</v>
      </c>
      <c r="P241" s="85">
        <v>0</v>
      </c>
      <c r="Q241" s="85">
        <v>0</v>
      </c>
      <c r="R241" s="85">
        <v>0</v>
      </c>
      <c r="S241" s="85">
        <v>0</v>
      </c>
      <c r="T241" s="85">
        <f t="shared" si="103"/>
        <v>0</v>
      </c>
      <c r="U241" s="85"/>
      <c r="V241" s="89">
        <f t="shared" si="84"/>
        <v>0</v>
      </c>
      <c r="W241" s="89">
        <f t="shared" si="97"/>
        <v>0</v>
      </c>
      <c r="X241" s="89">
        <f t="shared" si="81"/>
        <v>0</v>
      </c>
      <c r="Y241" s="89">
        <f t="shared" si="86"/>
        <v>0</v>
      </c>
      <c r="Z241" s="89">
        <f t="shared" si="104"/>
        <v>0</v>
      </c>
      <c r="AA241" s="89">
        <f t="shared" si="85"/>
        <v>0</v>
      </c>
      <c r="AB241" s="89">
        <f t="shared" si="98"/>
        <v>0</v>
      </c>
      <c r="AC241" s="89">
        <f t="shared" si="87"/>
        <v>0</v>
      </c>
      <c r="AD241" s="89">
        <f t="shared" si="88"/>
        <v>0</v>
      </c>
      <c r="AE241" s="89">
        <f t="shared" si="89"/>
        <v>0</v>
      </c>
      <c r="AF241" s="89">
        <f t="shared" si="90"/>
        <v>0</v>
      </c>
      <c r="AG241" s="89">
        <f t="shared" si="91"/>
        <v>0</v>
      </c>
      <c r="AH241" s="89">
        <f t="shared" si="92"/>
        <v>0</v>
      </c>
      <c r="AI241" s="89">
        <v>0</v>
      </c>
      <c r="AJ241" s="89"/>
      <c r="AK241" s="89">
        <v>0</v>
      </c>
      <c r="AL241" s="154">
        <f t="shared" si="105"/>
        <v>0</v>
      </c>
      <c r="AM241" s="120"/>
      <c r="AN241" s="120"/>
      <c r="AO241" s="240" t="s">
        <v>451</v>
      </c>
      <c r="AP241" s="240" t="s">
        <v>49</v>
      </c>
      <c r="AQ241" s="240" t="s">
        <v>452</v>
      </c>
      <c r="AR241" s="120"/>
      <c r="AS241" s="121"/>
      <c r="AT241" s="41"/>
      <c r="AU241" s="294"/>
      <c r="AX241" s="44" t="s">
        <v>226</v>
      </c>
      <c r="AY241" s="73">
        <f>SUM(AJ239:AJ255)</f>
        <v>22.72</v>
      </c>
    </row>
    <row r="242" spans="1:51" customFormat="1" ht="19.5" customHeight="1" thickBot="1">
      <c r="A242" s="121"/>
      <c r="B242" s="303"/>
      <c r="C242" s="85" t="s">
        <v>306</v>
      </c>
      <c r="D242" s="85" t="s">
        <v>473</v>
      </c>
      <c r="E242" s="151" t="s">
        <v>151</v>
      </c>
      <c r="F242" s="85">
        <f>IF($AP$248="no", 0, 1)</f>
        <v>0</v>
      </c>
      <c r="G242" s="85">
        <v>0</v>
      </c>
      <c r="H242" s="85">
        <v>120</v>
      </c>
      <c r="I242" s="85">
        <v>0</v>
      </c>
      <c r="J242" s="85">
        <v>120</v>
      </c>
      <c r="K242" s="85">
        <v>0</v>
      </c>
      <c r="L242" s="85">
        <v>0</v>
      </c>
      <c r="M242" s="85">
        <v>0</v>
      </c>
      <c r="N242" s="85">
        <v>0</v>
      </c>
      <c r="O242" s="85">
        <v>40</v>
      </c>
      <c r="P242" s="85">
        <v>40</v>
      </c>
      <c r="Q242" s="85">
        <v>20</v>
      </c>
      <c r="R242" s="85">
        <v>0</v>
      </c>
      <c r="S242" s="85">
        <v>0</v>
      </c>
      <c r="T242" s="85">
        <f t="shared" si="103"/>
        <v>0</v>
      </c>
      <c r="U242" s="85"/>
      <c r="V242" s="89">
        <f t="shared" si="84"/>
        <v>0</v>
      </c>
      <c r="W242" s="89">
        <f t="shared" si="97"/>
        <v>0</v>
      </c>
      <c r="X242" s="89">
        <f t="shared" si="81"/>
        <v>0</v>
      </c>
      <c r="Y242" s="89">
        <f t="shared" si="86"/>
        <v>0</v>
      </c>
      <c r="Z242" s="89">
        <f t="shared" si="104"/>
        <v>0</v>
      </c>
      <c r="AA242" s="89">
        <f t="shared" si="85"/>
        <v>0</v>
      </c>
      <c r="AB242" s="89">
        <f t="shared" si="98"/>
        <v>0</v>
      </c>
      <c r="AC242" s="89">
        <f t="shared" si="87"/>
        <v>0</v>
      </c>
      <c r="AD242" s="89">
        <f t="shared" si="88"/>
        <v>0</v>
      </c>
      <c r="AE242" s="89">
        <f t="shared" si="89"/>
        <v>0</v>
      </c>
      <c r="AF242" s="89">
        <f t="shared" si="90"/>
        <v>0</v>
      </c>
      <c r="AG242" s="89">
        <f t="shared" si="91"/>
        <v>0</v>
      </c>
      <c r="AH242" s="89">
        <f t="shared" si="92"/>
        <v>0</v>
      </c>
      <c r="AI242" s="89">
        <v>0</v>
      </c>
      <c r="AJ242" s="89"/>
      <c r="AK242" s="89">
        <v>0</v>
      </c>
      <c r="AL242" s="154">
        <f t="shared" si="105"/>
        <v>0</v>
      </c>
      <c r="AM242" s="120"/>
      <c r="AN242" s="120"/>
      <c r="AO242" s="202" t="s">
        <v>91</v>
      </c>
      <c r="AP242" s="83" t="s">
        <v>66</v>
      </c>
      <c r="AQ242" s="203" t="s">
        <v>67</v>
      </c>
      <c r="AR242" s="120"/>
      <c r="AS242" s="121"/>
      <c r="AT242" s="42" t="s">
        <v>199</v>
      </c>
      <c r="AU242" s="43"/>
      <c r="AX242" s="44" t="s">
        <v>205</v>
      </c>
      <c r="AY242" s="73">
        <f>SUM(V239:V255)</f>
        <v>58.91653752567214</v>
      </c>
    </row>
    <row r="243" spans="1:51" customFormat="1" ht="23.25">
      <c r="A243" s="121"/>
      <c r="B243" s="303"/>
      <c r="C243" s="85">
        <v>3</v>
      </c>
      <c r="D243" s="85" t="s">
        <v>550</v>
      </c>
      <c r="E243" s="151" t="s">
        <v>152</v>
      </c>
      <c r="F243" s="85">
        <v>1</v>
      </c>
      <c r="G243" s="85">
        <v>0</v>
      </c>
      <c r="H243" s="85">
        <v>0</v>
      </c>
      <c r="I243" s="85">
        <v>30</v>
      </c>
      <c r="J243" s="85">
        <v>30</v>
      </c>
      <c r="K243" s="85">
        <v>0</v>
      </c>
      <c r="L243" s="85">
        <v>0</v>
      </c>
      <c r="M243" s="85">
        <v>0</v>
      </c>
      <c r="N243" s="85">
        <v>0</v>
      </c>
      <c r="O243" s="85">
        <v>0</v>
      </c>
      <c r="P243" s="85">
        <v>0</v>
      </c>
      <c r="Q243" s="85">
        <v>0</v>
      </c>
      <c r="R243" s="85">
        <v>0</v>
      </c>
      <c r="S243" s="85">
        <v>0</v>
      </c>
      <c r="T243" s="85">
        <f t="shared" si="103"/>
        <v>60</v>
      </c>
      <c r="U243" s="85"/>
      <c r="V243" s="89">
        <f t="shared" si="84"/>
        <v>6.5257379574309189</v>
      </c>
      <c r="W243" s="89">
        <f t="shared" si="97"/>
        <v>0</v>
      </c>
      <c r="X243" s="89">
        <f t="shared" si="81"/>
        <v>32.299999999999997</v>
      </c>
      <c r="Y243" s="89">
        <f t="shared" si="86"/>
        <v>25.106250000000003</v>
      </c>
      <c r="Z243" s="89">
        <f>IF(ISNUMBER(SEARCH("CCR4", E243)),(T243-K243)*$Z$3, 0)</f>
        <v>12.417364278744502</v>
      </c>
      <c r="AA243" s="89">
        <f t="shared" si="85"/>
        <v>0</v>
      </c>
      <c r="AB243" s="89">
        <f t="shared" si="98"/>
        <v>0</v>
      </c>
      <c r="AC243" s="89">
        <f t="shared" si="87"/>
        <v>0</v>
      </c>
      <c r="AD243" s="89">
        <f t="shared" si="88"/>
        <v>0</v>
      </c>
      <c r="AE243" s="89">
        <f t="shared" si="89"/>
        <v>0</v>
      </c>
      <c r="AF243" s="89">
        <f t="shared" si="90"/>
        <v>0</v>
      </c>
      <c r="AG243" s="89">
        <f t="shared" si="91"/>
        <v>0</v>
      </c>
      <c r="AH243" s="89">
        <f t="shared" si="92"/>
        <v>0</v>
      </c>
      <c r="AI243" s="89">
        <v>0</v>
      </c>
      <c r="AJ243" s="89"/>
      <c r="AK243" s="89">
        <v>0</v>
      </c>
      <c r="AL243" s="153">
        <f t="shared" si="105"/>
        <v>76.34935223617542</v>
      </c>
      <c r="AM243" s="120"/>
      <c r="AN243" s="120"/>
      <c r="AO243" s="192" t="s">
        <v>59</v>
      </c>
      <c r="AP243" s="85" t="s">
        <v>18</v>
      </c>
      <c r="AQ243" s="186" t="s">
        <v>57</v>
      </c>
      <c r="AR243" s="120"/>
      <c r="AS243" s="121"/>
      <c r="AT243" s="44" t="s">
        <v>222</v>
      </c>
      <c r="AU243" s="45">
        <f>SUM(AL239:AL242)</f>
        <v>14.184559489357731</v>
      </c>
      <c r="AX243" s="44" t="s">
        <v>206</v>
      </c>
      <c r="AY243" s="73">
        <f>SUM(W239:W255)</f>
        <v>57.543749999999996</v>
      </c>
    </row>
    <row r="244" spans="1:51" customFormat="1" ht="23.25">
      <c r="A244" s="121"/>
      <c r="B244" s="303"/>
      <c r="C244" s="85">
        <v>5</v>
      </c>
      <c r="D244" s="85" t="s">
        <v>469</v>
      </c>
      <c r="E244" s="151" t="s">
        <v>52</v>
      </c>
      <c r="F244" s="85">
        <v>1</v>
      </c>
      <c r="G244" s="85">
        <v>0</v>
      </c>
      <c r="H244" s="85">
        <v>0</v>
      </c>
      <c r="I244" s="85">
        <v>0</v>
      </c>
      <c r="J244" s="85">
        <v>5</v>
      </c>
      <c r="K244" s="85">
        <v>0</v>
      </c>
      <c r="L244" s="85">
        <v>0</v>
      </c>
      <c r="M244" s="85">
        <v>0</v>
      </c>
      <c r="N244" s="85">
        <v>0</v>
      </c>
      <c r="O244" s="85">
        <v>0</v>
      </c>
      <c r="P244" s="85">
        <v>0</v>
      </c>
      <c r="Q244" s="85">
        <v>0</v>
      </c>
      <c r="R244" s="85">
        <v>0</v>
      </c>
      <c r="S244" s="85">
        <v>0</v>
      </c>
      <c r="T244" s="85">
        <f t="shared" si="103"/>
        <v>5</v>
      </c>
      <c r="U244" s="85"/>
      <c r="V244" s="89">
        <f t="shared" si="84"/>
        <v>0.54381149645257654</v>
      </c>
      <c r="W244" s="89">
        <f t="shared" si="97"/>
        <v>0</v>
      </c>
      <c r="X244" s="89">
        <f t="shared" si="81"/>
        <v>0</v>
      </c>
      <c r="Y244" s="89">
        <f t="shared" si="86"/>
        <v>4.1843750000000011</v>
      </c>
      <c r="Z244" s="89">
        <f t="shared" ref="Z244" si="106">IF(ISNUMBER(SEARCH("CCR4", E244)),(T244-K244)*$Z$3, 0)</f>
        <v>0</v>
      </c>
      <c r="AA244" s="89">
        <f t="shared" si="85"/>
        <v>0</v>
      </c>
      <c r="AB244" s="89">
        <f t="shared" si="98"/>
        <v>0</v>
      </c>
      <c r="AC244" s="89">
        <f t="shared" si="87"/>
        <v>0</v>
      </c>
      <c r="AD244" s="89">
        <f t="shared" si="88"/>
        <v>0</v>
      </c>
      <c r="AE244" s="89">
        <f t="shared" si="89"/>
        <v>0</v>
      </c>
      <c r="AF244" s="89">
        <f t="shared" si="90"/>
        <v>0</v>
      </c>
      <c r="AG244" s="89">
        <f t="shared" si="91"/>
        <v>0</v>
      </c>
      <c r="AH244" s="89">
        <f t="shared" si="92"/>
        <v>0</v>
      </c>
      <c r="AI244" s="89">
        <v>0</v>
      </c>
      <c r="AJ244" s="89"/>
      <c r="AK244" s="89">
        <f>inputs!E27</f>
        <v>160.88571428571427</v>
      </c>
      <c r="AL244" s="153">
        <f t="shared" si="105"/>
        <v>165.61390078216684</v>
      </c>
      <c r="AM244" s="120"/>
      <c r="AN244" s="120"/>
      <c r="AO244" s="192" t="s">
        <v>282</v>
      </c>
      <c r="AP244" s="85">
        <v>3</v>
      </c>
      <c r="AQ244" s="186" t="s">
        <v>87</v>
      </c>
      <c r="AR244" s="120"/>
      <c r="AS244" s="121"/>
      <c r="AT244" s="44" t="s">
        <v>200</v>
      </c>
      <c r="AU244" s="45">
        <f>SUM(AL243:AL249)</f>
        <v>430.43343340555498</v>
      </c>
      <c r="AX244" s="44" t="s">
        <v>279</v>
      </c>
      <c r="AY244" s="73">
        <f>SUM(X239:X255)</f>
        <v>172.26666666666665</v>
      </c>
    </row>
    <row r="245" spans="1:51" customFormat="1" ht="23.25">
      <c r="A245" s="121"/>
      <c r="B245" s="303"/>
      <c r="C245" s="85">
        <v>6</v>
      </c>
      <c r="D245" s="85" t="s">
        <v>544</v>
      </c>
      <c r="E245" s="151" t="s">
        <v>152</v>
      </c>
      <c r="F245" s="85">
        <v>2</v>
      </c>
      <c r="G245" s="85">
        <v>0</v>
      </c>
      <c r="H245" s="85">
        <v>0</v>
      </c>
      <c r="I245" s="85">
        <v>30</v>
      </c>
      <c r="J245" s="85">
        <v>30</v>
      </c>
      <c r="K245" s="85">
        <v>0</v>
      </c>
      <c r="L245" s="85">
        <v>0</v>
      </c>
      <c r="M245" s="85">
        <v>0</v>
      </c>
      <c r="N245" s="85">
        <v>0</v>
      </c>
      <c r="O245" s="85">
        <v>0</v>
      </c>
      <c r="P245" s="85">
        <v>0</v>
      </c>
      <c r="Q245" s="85">
        <v>0</v>
      </c>
      <c r="R245" s="85">
        <v>0</v>
      </c>
      <c r="S245" s="85">
        <v>0</v>
      </c>
      <c r="T245" s="85">
        <f>SUM(H245:S245)*F245</f>
        <v>120</v>
      </c>
      <c r="U245" s="85"/>
      <c r="V245" s="89">
        <f t="shared" si="84"/>
        <v>26.102951829723676</v>
      </c>
      <c r="W245" s="89">
        <f t="shared" si="97"/>
        <v>0</v>
      </c>
      <c r="X245" s="89">
        <f t="shared" si="81"/>
        <v>64.599999999999994</v>
      </c>
      <c r="Y245" s="89">
        <f t="shared" si="86"/>
        <v>50.212500000000006</v>
      </c>
      <c r="Z245" s="89">
        <f>IF(ISNUMBER(SEARCH("CCR4", E245)),(T245-K245)*$Z$3, 0)</f>
        <v>24.834728557489004</v>
      </c>
      <c r="AA245" s="89">
        <f t="shared" si="85"/>
        <v>0</v>
      </c>
      <c r="AB245" s="89">
        <f t="shared" si="98"/>
        <v>0</v>
      </c>
      <c r="AC245" s="89">
        <f t="shared" si="87"/>
        <v>0</v>
      </c>
      <c r="AD245" s="89">
        <f t="shared" si="88"/>
        <v>0</v>
      </c>
      <c r="AE245" s="89">
        <f t="shared" si="89"/>
        <v>0</v>
      </c>
      <c r="AF245" s="89">
        <f t="shared" si="90"/>
        <v>0</v>
      </c>
      <c r="AG245" s="89">
        <f t="shared" si="91"/>
        <v>0</v>
      </c>
      <c r="AH245" s="89">
        <f t="shared" si="92"/>
        <v>0</v>
      </c>
      <c r="AI245" s="89">
        <v>0</v>
      </c>
      <c r="AJ245" s="89">
        <f>IF(AP242="stimulated", inputs!E26, 0)</f>
        <v>4.5</v>
      </c>
      <c r="AK245" s="89">
        <v>0</v>
      </c>
      <c r="AL245" s="153">
        <f t="shared" si="105"/>
        <v>170.25018038721268</v>
      </c>
      <c r="AM245" s="120"/>
      <c r="AN245" s="120"/>
      <c r="AO245" s="192" t="s">
        <v>210</v>
      </c>
      <c r="AP245" s="85" t="s">
        <v>18</v>
      </c>
      <c r="AQ245" s="186" t="s">
        <v>45</v>
      </c>
      <c r="AR245" s="120"/>
      <c r="AS245" s="121"/>
      <c r="AT245" s="44" t="s">
        <v>201</v>
      </c>
      <c r="AU245" s="45"/>
      <c r="AX245" s="44" t="s">
        <v>122</v>
      </c>
      <c r="AY245" s="73">
        <f>SUM(Y239:Y255)</f>
        <v>150.63750000000002</v>
      </c>
    </row>
    <row r="246" spans="1:51" customFormat="1" ht="23.25">
      <c r="A246" s="121"/>
      <c r="B246" s="303"/>
      <c r="C246" s="85">
        <v>7</v>
      </c>
      <c r="D246" s="85" t="s">
        <v>545</v>
      </c>
      <c r="E246" s="151" t="s">
        <v>152</v>
      </c>
      <c r="F246" s="85">
        <f>IF(AP245="no", 0, 1)</f>
        <v>0</v>
      </c>
      <c r="G246" s="85">
        <v>0</v>
      </c>
      <c r="H246" s="85">
        <v>0</v>
      </c>
      <c r="I246" s="85">
        <v>30</v>
      </c>
      <c r="J246" s="85">
        <v>30</v>
      </c>
      <c r="K246" s="85">
        <v>0</v>
      </c>
      <c r="L246" s="85">
        <v>0</v>
      </c>
      <c r="M246" s="85">
        <v>0</v>
      </c>
      <c r="N246" s="85">
        <v>0</v>
      </c>
      <c r="O246" s="85">
        <v>0</v>
      </c>
      <c r="P246" s="85">
        <v>0</v>
      </c>
      <c r="Q246" s="85">
        <v>0</v>
      </c>
      <c r="R246" s="85">
        <v>0</v>
      </c>
      <c r="S246" s="85">
        <v>0</v>
      </c>
      <c r="T246" s="85">
        <f t="shared" ref="T246:T255" si="107">SUM(H246:S246)*F246</f>
        <v>0</v>
      </c>
      <c r="U246" s="85"/>
      <c r="V246" s="89">
        <f t="shared" si="84"/>
        <v>0</v>
      </c>
      <c r="W246" s="89">
        <f t="shared" si="97"/>
        <v>0</v>
      </c>
      <c r="X246" s="89">
        <f t="shared" si="81"/>
        <v>0</v>
      </c>
      <c r="Y246" s="89">
        <f t="shared" si="86"/>
        <v>0</v>
      </c>
      <c r="Z246" s="89">
        <f t="shared" ref="Z246:Z253" si="108">IF(ISNUMBER(SEARCH("CCR4", E246)),(T246-K246)*$Z$3, 0)</f>
        <v>0</v>
      </c>
      <c r="AA246" s="89">
        <f t="shared" si="85"/>
        <v>0</v>
      </c>
      <c r="AB246" s="89">
        <f t="shared" si="98"/>
        <v>0</v>
      </c>
      <c r="AC246" s="89">
        <f t="shared" si="87"/>
        <v>0</v>
      </c>
      <c r="AD246" s="89">
        <f t="shared" si="88"/>
        <v>0</v>
      </c>
      <c r="AE246" s="89">
        <f t="shared" si="89"/>
        <v>0</v>
      </c>
      <c r="AF246" s="89">
        <f t="shared" si="90"/>
        <v>0</v>
      </c>
      <c r="AG246" s="89">
        <f t="shared" si="91"/>
        <v>0</v>
      </c>
      <c r="AH246" s="89">
        <f t="shared" si="92"/>
        <v>0</v>
      </c>
      <c r="AI246" s="89">
        <v>0</v>
      </c>
      <c r="AJ246" s="89"/>
      <c r="AK246" s="89">
        <v>0</v>
      </c>
      <c r="AL246" s="153">
        <f t="shared" si="105"/>
        <v>0</v>
      </c>
      <c r="AM246" s="120"/>
      <c r="AN246" s="120"/>
      <c r="AO246" s="192" t="s">
        <v>59</v>
      </c>
      <c r="AP246" s="85" t="s">
        <v>18</v>
      </c>
      <c r="AQ246" s="186" t="s">
        <v>45</v>
      </c>
      <c r="AR246" s="120"/>
      <c r="AS246" s="121"/>
      <c r="AT246" s="44" t="s">
        <v>223</v>
      </c>
      <c r="AU246" s="45">
        <f>SUM(AL250:AL252)</f>
        <v>234.85113679617217</v>
      </c>
      <c r="AX246" s="44" t="s">
        <v>207</v>
      </c>
      <c r="AY246" s="73">
        <f>SUM(Z239:Z255)</f>
        <v>55.878139254350259</v>
      </c>
    </row>
    <row r="247" spans="1:51" customFormat="1" ht="23.25">
      <c r="A247" s="121"/>
      <c r="B247" s="303"/>
      <c r="C247" s="85">
        <v>8</v>
      </c>
      <c r="D247" s="85" t="s">
        <v>546</v>
      </c>
      <c r="E247" s="151"/>
      <c r="F247" s="85">
        <v>0</v>
      </c>
      <c r="G247" s="85">
        <v>0</v>
      </c>
      <c r="H247" s="85">
        <v>0</v>
      </c>
      <c r="I247" s="85">
        <v>0</v>
      </c>
      <c r="J247" s="85">
        <v>0</v>
      </c>
      <c r="K247" s="85">
        <v>0</v>
      </c>
      <c r="L247" s="85">
        <v>0</v>
      </c>
      <c r="M247" s="85">
        <v>0</v>
      </c>
      <c r="N247" s="85">
        <v>0</v>
      </c>
      <c r="O247" s="85">
        <v>0</v>
      </c>
      <c r="P247" s="85">
        <v>0</v>
      </c>
      <c r="Q247" s="85">
        <v>0</v>
      </c>
      <c r="R247" s="85">
        <v>0</v>
      </c>
      <c r="S247" s="85">
        <v>0</v>
      </c>
      <c r="T247" s="85">
        <f t="shared" si="107"/>
        <v>0</v>
      </c>
      <c r="U247" s="85"/>
      <c r="V247" s="89">
        <f t="shared" si="84"/>
        <v>0</v>
      </c>
      <c r="W247" s="89">
        <f t="shared" si="97"/>
        <v>0</v>
      </c>
      <c r="X247" s="89">
        <f t="shared" si="81"/>
        <v>0</v>
      </c>
      <c r="Y247" s="89">
        <f t="shared" si="86"/>
        <v>0</v>
      </c>
      <c r="Z247" s="89">
        <f t="shared" si="108"/>
        <v>0</v>
      </c>
      <c r="AA247" s="89">
        <f t="shared" si="85"/>
        <v>0</v>
      </c>
      <c r="AB247" s="89">
        <f t="shared" si="98"/>
        <v>0</v>
      </c>
      <c r="AC247" s="89">
        <f t="shared" si="87"/>
        <v>0</v>
      </c>
      <c r="AD247" s="89">
        <f t="shared" si="88"/>
        <v>0</v>
      </c>
      <c r="AE247" s="89">
        <f t="shared" si="89"/>
        <v>0</v>
      </c>
      <c r="AF247" s="89">
        <f t="shared" si="90"/>
        <v>0</v>
      </c>
      <c r="AG247" s="89">
        <f t="shared" si="91"/>
        <v>0</v>
      </c>
      <c r="AH247" s="89">
        <f t="shared" si="92"/>
        <v>0</v>
      </c>
      <c r="AI247" s="89">
        <v>0</v>
      </c>
      <c r="AJ247" s="89"/>
      <c r="AK247" s="89">
        <v>0</v>
      </c>
      <c r="AL247" s="153">
        <f t="shared" si="105"/>
        <v>0</v>
      </c>
      <c r="AM247" s="170"/>
      <c r="AN247" s="170"/>
      <c r="AO247" s="192" t="s">
        <v>47</v>
      </c>
      <c r="AP247" s="85" t="s">
        <v>18</v>
      </c>
      <c r="AQ247" s="186" t="s">
        <v>45</v>
      </c>
      <c r="AR247" s="120"/>
      <c r="AS247" s="121"/>
      <c r="AT247" s="44" t="s">
        <v>202</v>
      </c>
      <c r="AU247" s="45"/>
      <c r="AX247" s="44" t="s">
        <v>123</v>
      </c>
      <c r="AY247" s="73">
        <f>SUM(AA239:AA255)</f>
        <v>0</v>
      </c>
    </row>
    <row r="248" spans="1:51" customFormat="1" ht="23.25">
      <c r="A248" s="121"/>
      <c r="B248" s="303"/>
      <c r="C248" s="85">
        <v>9</v>
      </c>
      <c r="D248" s="85" t="s">
        <v>547</v>
      </c>
      <c r="E248" s="151"/>
      <c r="F248" s="85">
        <f>IF(AP242="stimulated", 1, 0)</f>
        <v>1</v>
      </c>
      <c r="G248" s="85">
        <v>0</v>
      </c>
      <c r="H248" s="85">
        <v>0</v>
      </c>
      <c r="I248" s="85">
        <v>0</v>
      </c>
      <c r="J248" s="85">
        <v>0</v>
      </c>
      <c r="K248" s="85">
        <v>0</v>
      </c>
      <c r="L248" s="85">
        <v>0</v>
      </c>
      <c r="M248" s="85">
        <v>0</v>
      </c>
      <c r="N248" s="85">
        <v>0</v>
      </c>
      <c r="O248" s="85">
        <v>0</v>
      </c>
      <c r="P248" s="85">
        <v>0</v>
      </c>
      <c r="Q248" s="85">
        <v>0</v>
      </c>
      <c r="R248" s="85">
        <v>0</v>
      </c>
      <c r="S248" s="85">
        <v>0</v>
      </c>
      <c r="T248" s="85">
        <f t="shared" si="107"/>
        <v>0</v>
      </c>
      <c r="U248" s="85"/>
      <c r="V248" s="89">
        <f t="shared" si="84"/>
        <v>0</v>
      </c>
      <c r="W248" s="89">
        <f t="shared" si="97"/>
        <v>0</v>
      </c>
      <c r="X248" s="89">
        <f t="shared" si="81"/>
        <v>0</v>
      </c>
      <c r="Y248" s="89">
        <f t="shared" si="86"/>
        <v>0</v>
      </c>
      <c r="Z248" s="89">
        <f t="shared" si="108"/>
        <v>0</v>
      </c>
      <c r="AA248" s="89">
        <f t="shared" si="85"/>
        <v>0</v>
      </c>
      <c r="AB248" s="89">
        <f t="shared" si="98"/>
        <v>0</v>
      </c>
      <c r="AC248" s="89">
        <f t="shared" si="87"/>
        <v>0</v>
      </c>
      <c r="AD248" s="89">
        <f t="shared" si="88"/>
        <v>0</v>
      </c>
      <c r="AE248" s="89">
        <f t="shared" si="89"/>
        <v>0</v>
      </c>
      <c r="AF248" s="89">
        <f t="shared" si="90"/>
        <v>0</v>
      </c>
      <c r="AG248" s="89">
        <f t="shared" si="91"/>
        <v>0</v>
      </c>
      <c r="AH248" s="89">
        <f t="shared" si="92"/>
        <v>0</v>
      </c>
      <c r="AI248" s="89">
        <v>0</v>
      </c>
      <c r="AJ248" s="89">
        <f>inputs!E30*F248</f>
        <v>18.22</v>
      </c>
      <c r="AK248" s="89">
        <v>0</v>
      </c>
      <c r="AL248" s="153">
        <f t="shared" si="105"/>
        <v>18.22</v>
      </c>
      <c r="AM248" s="120"/>
      <c r="AN248" s="120"/>
      <c r="AO248" s="193" t="s">
        <v>46</v>
      </c>
      <c r="AP248" s="87" t="s">
        <v>18</v>
      </c>
      <c r="AQ248" s="194" t="s">
        <v>45</v>
      </c>
      <c r="AR248" s="120"/>
      <c r="AS248" s="121"/>
      <c r="AT248" s="44" t="s">
        <v>224</v>
      </c>
      <c r="AU248" s="45"/>
      <c r="AX248" s="44" t="s">
        <v>208</v>
      </c>
      <c r="AY248" s="73">
        <f>SUM(AB239:AB254)</f>
        <v>107.9010543154762</v>
      </c>
    </row>
    <row r="249" spans="1:51" customFormat="1" ht="24" thickBot="1">
      <c r="A249" s="121"/>
      <c r="B249" s="303"/>
      <c r="C249" s="85">
        <v>10</v>
      </c>
      <c r="D249" s="85" t="s">
        <v>90</v>
      </c>
      <c r="E249" s="151" t="s">
        <v>51</v>
      </c>
      <c r="F249" s="85">
        <f>IF(AP242="stimulated", 0, 1)</f>
        <v>0</v>
      </c>
      <c r="G249" s="85">
        <v>0</v>
      </c>
      <c r="H249" s="85">
        <v>0</v>
      </c>
      <c r="I249" s="85">
        <v>0</v>
      </c>
      <c r="J249" s="85">
        <v>0</v>
      </c>
      <c r="K249" s="85">
        <v>0</v>
      </c>
      <c r="L249" s="85">
        <v>0</v>
      </c>
      <c r="M249" s="85">
        <v>0</v>
      </c>
      <c r="N249" s="85">
        <v>0</v>
      </c>
      <c r="O249" s="85">
        <v>0</v>
      </c>
      <c r="P249" s="85">
        <v>0</v>
      </c>
      <c r="Q249" s="85">
        <v>0</v>
      </c>
      <c r="R249" s="85">
        <v>0</v>
      </c>
      <c r="S249" s="85">
        <v>0</v>
      </c>
      <c r="T249" s="85">
        <f t="shared" si="107"/>
        <v>0</v>
      </c>
      <c r="U249" s="85"/>
      <c r="V249" s="89">
        <f t="shared" si="84"/>
        <v>0</v>
      </c>
      <c r="W249" s="89">
        <f t="shared" si="97"/>
        <v>0</v>
      </c>
      <c r="X249" s="89">
        <f t="shared" si="81"/>
        <v>0</v>
      </c>
      <c r="Y249" s="89">
        <f t="shared" si="86"/>
        <v>0</v>
      </c>
      <c r="Z249" s="89">
        <f t="shared" si="108"/>
        <v>0</v>
      </c>
      <c r="AA249" s="89">
        <f t="shared" si="85"/>
        <v>0</v>
      </c>
      <c r="AB249" s="89">
        <f t="shared" si="98"/>
        <v>0</v>
      </c>
      <c r="AC249" s="89">
        <f t="shared" si="87"/>
        <v>0</v>
      </c>
      <c r="AD249" s="89">
        <f t="shared" si="88"/>
        <v>0</v>
      </c>
      <c r="AE249" s="89">
        <f t="shared" si="89"/>
        <v>0</v>
      </c>
      <c r="AF249" s="89">
        <f t="shared" si="90"/>
        <v>0</v>
      </c>
      <c r="AG249" s="89">
        <f t="shared" si="91"/>
        <v>0</v>
      </c>
      <c r="AH249" s="89">
        <f t="shared" si="92"/>
        <v>0</v>
      </c>
      <c r="AI249" s="89">
        <v>0</v>
      </c>
      <c r="AJ249" s="89"/>
      <c r="AK249" s="89">
        <v>0</v>
      </c>
      <c r="AL249" s="153">
        <f t="shared" si="105"/>
        <v>0</v>
      </c>
      <c r="AM249" s="120"/>
      <c r="AN249" s="120"/>
      <c r="AO249" s="120"/>
      <c r="AP249" s="120"/>
      <c r="AQ249" s="120"/>
      <c r="AR249" s="120"/>
      <c r="AS249" s="121"/>
      <c r="AT249" s="44" t="s">
        <v>203</v>
      </c>
      <c r="AU249" s="50">
        <f>SUM(AL253:AL255)</f>
        <v>174.84465335426313</v>
      </c>
      <c r="AX249" s="44" t="s">
        <v>209</v>
      </c>
      <c r="AY249" s="73">
        <f>SUM(AC239:AC255)</f>
        <v>23.073820997468438</v>
      </c>
    </row>
    <row r="250" spans="1:51" customFormat="1" ht="24" thickTop="1">
      <c r="A250" s="121"/>
      <c r="B250" s="303"/>
      <c r="C250" s="85">
        <v>11</v>
      </c>
      <c r="D250" s="85" t="s">
        <v>548</v>
      </c>
      <c r="E250" s="151" t="s">
        <v>132</v>
      </c>
      <c r="F250" s="85">
        <f>IF($AP$226="no", 1, 0)</f>
        <v>1</v>
      </c>
      <c r="G250" s="85">
        <v>0</v>
      </c>
      <c r="H250" s="85">
        <v>0</v>
      </c>
      <c r="I250" s="85">
        <v>0</v>
      </c>
      <c r="J250" s="85">
        <v>0</v>
      </c>
      <c r="K250" s="85">
        <v>9</v>
      </c>
      <c r="L250" s="85">
        <v>0</v>
      </c>
      <c r="M250" s="85">
        <v>0</v>
      </c>
      <c r="N250" s="85">
        <v>0</v>
      </c>
      <c r="O250" s="85">
        <v>0</v>
      </c>
      <c r="P250" s="85">
        <v>0</v>
      </c>
      <c r="Q250" s="85">
        <v>0</v>
      </c>
      <c r="R250" s="85">
        <v>0</v>
      </c>
      <c r="S250" s="85">
        <v>0</v>
      </c>
      <c r="T250" s="85">
        <f t="shared" si="107"/>
        <v>9</v>
      </c>
      <c r="U250" s="85"/>
      <c r="V250" s="89">
        <f t="shared" si="84"/>
        <v>0.97886069361463779</v>
      </c>
      <c r="W250" s="89">
        <f t="shared" si="97"/>
        <v>0</v>
      </c>
      <c r="X250" s="89">
        <f t="shared" si="81"/>
        <v>0</v>
      </c>
      <c r="Y250" s="89">
        <f t="shared" si="86"/>
        <v>0</v>
      </c>
      <c r="Z250" s="89">
        <f t="shared" si="108"/>
        <v>0</v>
      </c>
      <c r="AA250" s="89">
        <f t="shared" si="85"/>
        <v>0</v>
      </c>
      <c r="AB250" s="89">
        <f t="shared" si="98"/>
        <v>18.783549107142857</v>
      </c>
      <c r="AC250" s="89">
        <f t="shared" si="87"/>
        <v>4.0167193225767104</v>
      </c>
      <c r="AD250" s="89">
        <f t="shared" si="88"/>
        <v>0</v>
      </c>
      <c r="AE250" s="89">
        <f t="shared" si="89"/>
        <v>0</v>
      </c>
      <c r="AF250" s="89">
        <f t="shared" si="90"/>
        <v>0</v>
      </c>
      <c r="AG250" s="89">
        <f t="shared" si="91"/>
        <v>0</v>
      </c>
      <c r="AH250" s="89">
        <f t="shared" si="92"/>
        <v>0</v>
      </c>
      <c r="AI250" s="89">
        <v>0</v>
      </c>
      <c r="AJ250" s="89"/>
      <c r="AK250" s="89">
        <v>0</v>
      </c>
      <c r="AL250" s="175">
        <f t="shared" si="105"/>
        <v>23.779129123334208</v>
      </c>
      <c r="AM250" s="120"/>
      <c r="AN250" s="120"/>
      <c r="AO250" s="121"/>
      <c r="AP250" s="120"/>
      <c r="AQ250" s="120"/>
      <c r="AR250" s="120"/>
      <c r="AS250" s="121"/>
      <c r="AT250" s="47" t="s">
        <v>204</v>
      </c>
      <c r="AU250" s="37">
        <f>SUM(AU243:AU249)</f>
        <v>854.31378304534792</v>
      </c>
      <c r="AX250" s="44" t="s">
        <v>191</v>
      </c>
      <c r="AY250" s="73">
        <f>SUM(AD239:AD255)</f>
        <v>0</v>
      </c>
    </row>
    <row r="251" spans="1:51" customFormat="1" ht="23.25">
      <c r="A251" s="121"/>
      <c r="B251" s="303"/>
      <c r="C251" s="85">
        <v>12</v>
      </c>
      <c r="D251" s="85" t="s">
        <v>510</v>
      </c>
      <c r="E251" s="151" t="s">
        <v>148</v>
      </c>
      <c r="F251" s="85">
        <f>IF($AP$226="no", 1, 0)</f>
        <v>1</v>
      </c>
      <c r="G251" s="85">
        <v>0</v>
      </c>
      <c r="H251" s="85">
        <v>0</v>
      </c>
      <c r="I251" s="85">
        <v>0</v>
      </c>
      <c r="J251" s="85">
        <v>0</v>
      </c>
      <c r="K251" s="85">
        <v>37</v>
      </c>
      <c r="L251" s="85">
        <v>0</v>
      </c>
      <c r="M251" s="85">
        <v>0</v>
      </c>
      <c r="N251" s="85">
        <v>0</v>
      </c>
      <c r="O251" s="85">
        <v>0</v>
      </c>
      <c r="P251" s="85">
        <v>0</v>
      </c>
      <c r="Q251" s="85">
        <v>0</v>
      </c>
      <c r="R251" s="85">
        <v>0</v>
      </c>
      <c r="S251" s="85">
        <v>0</v>
      </c>
      <c r="T251" s="85">
        <f t="shared" si="107"/>
        <v>37</v>
      </c>
      <c r="U251" s="85"/>
      <c r="V251" s="89">
        <f t="shared" si="84"/>
        <v>4.0242050737490667</v>
      </c>
      <c r="W251" s="89">
        <f t="shared" si="97"/>
        <v>0</v>
      </c>
      <c r="X251" s="89">
        <f t="shared" si="81"/>
        <v>0</v>
      </c>
      <c r="Y251" s="89">
        <f t="shared" si="86"/>
        <v>0</v>
      </c>
      <c r="Z251" s="89">
        <f t="shared" si="108"/>
        <v>0</v>
      </c>
      <c r="AA251" s="89">
        <f t="shared" si="85"/>
        <v>0</v>
      </c>
      <c r="AB251" s="89">
        <f t="shared" si="98"/>
        <v>77.221257440476194</v>
      </c>
      <c r="AC251" s="89">
        <f t="shared" si="87"/>
        <v>16.513179437259808</v>
      </c>
      <c r="AD251" s="89">
        <f t="shared" si="88"/>
        <v>0</v>
      </c>
      <c r="AE251" s="89">
        <f t="shared" si="89"/>
        <v>0</v>
      </c>
      <c r="AF251" s="89">
        <f t="shared" si="90"/>
        <v>0</v>
      </c>
      <c r="AG251" s="89">
        <f t="shared" si="91"/>
        <v>0</v>
      </c>
      <c r="AH251" s="89">
        <f t="shared" si="92"/>
        <v>0</v>
      </c>
      <c r="AI251" s="89">
        <v>0</v>
      </c>
      <c r="AJ251" s="89"/>
      <c r="AK251" s="89">
        <v>0</v>
      </c>
      <c r="AL251" s="175">
        <f t="shared" si="105"/>
        <v>97.758641951485075</v>
      </c>
      <c r="AM251" s="120"/>
      <c r="AN251" s="120"/>
      <c r="AO251" s="121"/>
      <c r="AP251" s="120"/>
      <c r="AQ251" s="120"/>
      <c r="AR251" s="120"/>
      <c r="AS251" s="121"/>
      <c r="AX251" s="44" t="s">
        <v>192</v>
      </c>
      <c r="AY251" s="73"/>
    </row>
    <row r="252" spans="1:51" customFormat="1" ht="23.25">
      <c r="A252" s="121"/>
      <c r="B252" s="303"/>
      <c r="C252" s="85">
        <v>13</v>
      </c>
      <c r="D252" s="85" t="s">
        <v>549</v>
      </c>
      <c r="E252" s="151" t="s">
        <v>161</v>
      </c>
      <c r="F252" s="85">
        <f>IF($AP$226="no", 1, 0)</f>
        <v>1</v>
      </c>
      <c r="G252" s="85">
        <v>0</v>
      </c>
      <c r="H252" s="85">
        <v>0</v>
      </c>
      <c r="I252" s="85">
        <v>40</v>
      </c>
      <c r="J252" s="85">
        <v>40</v>
      </c>
      <c r="K252" s="85">
        <v>5.7</v>
      </c>
      <c r="L252" s="85">
        <v>0</v>
      </c>
      <c r="M252" s="85">
        <v>0</v>
      </c>
      <c r="N252" s="85">
        <v>0</v>
      </c>
      <c r="O252" s="85">
        <v>0</v>
      </c>
      <c r="P252" s="85">
        <v>0</v>
      </c>
      <c r="Q252" s="85">
        <v>0</v>
      </c>
      <c r="R252" s="85">
        <v>0</v>
      </c>
      <c r="S252" s="85">
        <v>0</v>
      </c>
      <c r="T252" s="85">
        <f t="shared" si="107"/>
        <v>85.7</v>
      </c>
      <c r="U252" s="85"/>
      <c r="V252" s="89">
        <f t="shared" si="84"/>
        <v>9.3209290491971633</v>
      </c>
      <c r="W252" s="89">
        <f t="shared" si="97"/>
        <v>0</v>
      </c>
      <c r="X252" s="89">
        <f t="shared" si="81"/>
        <v>43.066666666666663</v>
      </c>
      <c r="Y252" s="89">
        <f t="shared" si="86"/>
        <v>33.475000000000009</v>
      </c>
      <c r="Z252" s="89">
        <f t="shared" si="108"/>
        <v>0</v>
      </c>
      <c r="AA252" s="89">
        <f t="shared" si="85"/>
        <v>0</v>
      </c>
      <c r="AB252" s="89">
        <f t="shared" si="98"/>
        <v>11.896247767857144</v>
      </c>
      <c r="AC252" s="89">
        <f t="shared" si="87"/>
        <v>2.5439222376319166</v>
      </c>
      <c r="AD252" s="89">
        <f t="shared" si="88"/>
        <v>0</v>
      </c>
      <c r="AE252" s="89">
        <f t="shared" si="89"/>
        <v>0</v>
      </c>
      <c r="AF252" s="89">
        <f t="shared" si="90"/>
        <v>0</v>
      </c>
      <c r="AG252" s="89">
        <f t="shared" si="91"/>
        <v>0</v>
      </c>
      <c r="AH252" s="89">
        <f t="shared" si="92"/>
        <v>0</v>
      </c>
      <c r="AI252" s="89">
        <f>inputs!E45*F252</f>
        <v>13.0106</v>
      </c>
      <c r="AJ252" s="89"/>
      <c r="AK252" s="89">
        <v>0</v>
      </c>
      <c r="AL252" s="175">
        <f t="shared" si="105"/>
        <v>113.31336572135289</v>
      </c>
      <c r="AM252" s="170"/>
      <c r="AN252" s="170"/>
      <c r="AO252" s="181"/>
      <c r="AP252" s="120"/>
      <c r="AQ252" s="120"/>
      <c r="AR252" s="120"/>
      <c r="AS252" s="121"/>
      <c r="AX252" s="44" t="s">
        <v>193</v>
      </c>
      <c r="AY252" s="73"/>
    </row>
    <row r="253" spans="1:51" customFormat="1" ht="23.25">
      <c r="A253" s="121"/>
      <c r="B253" s="303"/>
      <c r="C253" s="85">
        <v>14</v>
      </c>
      <c r="D253" s="85" t="s">
        <v>483</v>
      </c>
      <c r="E253" s="151"/>
      <c r="F253" s="85">
        <v>1</v>
      </c>
      <c r="G253" s="85">
        <v>0</v>
      </c>
      <c r="H253" s="85">
        <v>0</v>
      </c>
      <c r="I253" s="85">
        <v>0</v>
      </c>
      <c r="J253" s="85">
        <v>0</v>
      </c>
      <c r="K253" s="85">
        <v>0</v>
      </c>
      <c r="L253" s="85">
        <v>0</v>
      </c>
      <c r="M253" s="85">
        <v>0</v>
      </c>
      <c r="N253" s="85">
        <v>0</v>
      </c>
      <c r="O253" s="85">
        <v>0</v>
      </c>
      <c r="P253" s="85">
        <v>0</v>
      </c>
      <c r="Q253" s="85">
        <v>0</v>
      </c>
      <c r="R253" s="85">
        <v>0</v>
      </c>
      <c r="S253" s="85">
        <v>0</v>
      </c>
      <c r="T253" s="85">
        <f t="shared" si="107"/>
        <v>0</v>
      </c>
      <c r="U253" s="85"/>
      <c r="V253" s="89">
        <f t="shared" si="84"/>
        <v>0</v>
      </c>
      <c r="W253" s="89">
        <f t="shared" si="97"/>
        <v>0</v>
      </c>
      <c r="X253" s="89">
        <f t="shared" si="81"/>
        <v>0</v>
      </c>
      <c r="Y253" s="89">
        <f t="shared" si="86"/>
        <v>0</v>
      </c>
      <c r="Z253" s="89">
        <f t="shared" si="108"/>
        <v>0</v>
      </c>
      <c r="AA253" s="89">
        <f t="shared" si="85"/>
        <v>0</v>
      </c>
      <c r="AB253" s="89">
        <f t="shared" si="98"/>
        <v>0</v>
      </c>
      <c r="AC253" s="89">
        <f t="shared" si="87"/>
        <v>0</v>
      </c>
      <c r="AD253" s="89">
        <f t="shared" si="88"/>
        <v>0</v>
      </c>
      <c r="AE253" s="89">
        <f t="shared" si="89"/>
        <v>0</v>
      </c>
      <c r="AF253" s="89">
        <f t="shared" si="90"/>
        <v>0</v>
      </c>
      <c r="AG253" s="89">
        <f t="shared" si="91"/>
        <v>0</v>
      </c>
      <c r="AH253" s="89">
        <f t="shared" si="92"/>
        <v>0</v>
      </c>
      <c r="AI253" s="89">
        <v>0</v>
      </c>
      <c r="AJ253" s="89"/>
      <c r="AK253" s="89">
        <v>0</v>
      </c>
      <c r="AL253" s="155">
        <f t="shared" si="105"/>
        <v>0</v>
      </c>
      <c r="AM253" s="120"/>
      <c r="AN253" s="120"/>
      <c r="AO253" s="121"/>
      <c r="AP253" s="120"/>
      <c r="AQ253" s="120"/>
      <c r="AR253" s="120"/>
      <c r="AS253" s="121"/>
      <c r="AX253" s="44" t="s">
        <v>146</v>
      </c>
      <c r="AY253" s="73"/>
    </row>
    <row r="254" spans="1:51" customFormat="1" ht="23.25">
      <c r="A254" s="121"/>
      <c r="B254" s="303"/>
      <c r="C254" s="85">
        <v>15</v>
      </c>
      <c r="D254" s="85" t="s">
        <v>529</v>
      </c>
      <c r="E254" s="151" t="s">
        <v>150</v>
      </c>
      <c r="F254" s="85">
        <f>IF($AP$226="yes", 0, 1)</f>
        <v>1</v>
      </c>
      <c r="G254" s="85">
        <v>0</v>
      </c>
      <c r="H254" s="85">
        <v>0</v>
      </c>
      <c r="I254" s="85">
        <v>30</v>
      </c>
      <c r="J254" s="85">
        <v>30</v>
      </c>
      <c r="K254" s="85">
        <v>0</v>
      </c>
      <c r="L254" s="85">
        <v>0</v>
      </c>
      <c r="M254" s="85">
        <v>0</v>
      </c>
      <c r="N254" s="85">
        <v>0</v>
      </c>
      <c r="O254" s="85">
        <v>0</v>
      </c>
      <c r="P254" s="85">
        <v>0</v>
      </c>
      <c r="Q254" s="85">
        <v>0</v>
      </c>
      <c r="R254" s="85">
        <v>0</v>
      </c>
      <c r="S254" s="85">
        <v>0</v>
      </c>
      <c r="T254" s="85">
        <f t="shared" si="107"/>
        <v>60</v>
      </c>
      <c r="U254" s="85"/>
      <c r="V254" s="89">
        <f t="shared" si="84"/>
        <v>6.5257379574309189</v>
      </c>
      <c r="W254" s="89">
        <f t="shared" si="97"/>
        <v>0</v>
      </c>
      <c r="X254" s="89">
        <f t="shared" si="81"/>
        <v>32.299999999999997</v>
      </c>
      <c r="Y254" s="89">
        <f t="shared" si="86"/>
        <v>25.106250000000003</v>
      </c>
      <c r="Z254" s="89">
        <f>IF(ISNUMBER(SEARCH("CCR4", E254)),(T254-K254)*$Z$3, 0)</f>
        <v>12.417364278744502</v>
      </c>
      <c r="AA254" s="89">
        <f t="shared" si="85"/>
        <v>0</v>
      </c>
      <c r="AB254" s="89">
        <f t="shared" si="98"/>
        <v>0</v>
      </c>
      <c r="AC254" s="89">
        <f t="shared" si="87"/>
        <v>0</v>
      </c>
      <c r="AD254" s="89">
        <f t="shared" si="88"/>
        <v>0</v>
      </c>
      <c r="AE254" s="89">
        <f t="shared" si="89"/>
        <v>0</v>
      </c>
      <c r="AF254" s="89">
        <f t="shared" si="90"/>
        <v>0</v>
      </c>
      <c r="AG254" s="89">
        <f t="shared" si="91"/>
        <v>0</v>
      </c>
      <c r="AH254" s="89">
        <f t="shared" si="92"/>
        <v>0</v>
      </c>
      <c r="AI254" s="89">
        <v>0</v>
      </c>
      <c r="AJ254" s="89"/>
      <c r="AK254" s="89">
        <v>0</v>
      </c>
      <c r="AL254" s="155">
        <f t="shared" si="105"/>
        <v>76.34935223617542</v>
      </c>
      <c r="AM254" s="120"/>
      <c r="AN254" s="120"/>
      <c r="AO254" s="120"/>
      <c r="AP254" s="120"/>
      <c r="AQ254" s="120"/>
      <c r="AR254" s="120"/>
      <c r="AS254" s="121"/>
      <c r="AX254" s="44" t="s">
        <v>285</v>
      </c>
      <c r="AY254" s="45"/>
    </row>
    <row r="255" spans="1:51" customFormat="1" ht="24" thickBot="1">
      <c r="A255" s="121"/>
      <c r="B255" s="303"/>
      <c r="C255" s="85">
        <v>16</v>
      </c>
      <c r="D255" s="85" t="s">
        <v>528</v>
      </c>
      <c r="E255" s="151" t="s">
        <v>150</v>
      </c>
      <c r="F255" s="85">
        <v>1</v>
      </c>
      <c r="G255" s="85">
        <v>0</v>
      </c>
      <c r="H255" s="85">
        <v>30</v>
      </c>
      <c r="I255" s="85">
        <v>0</v>
      </c>
      <c r="J255" s="85">
        <v>0</v>
      </c>
      <c r="K255" s="85">
        <v>0</v>
      </c>
      <c r="L255" s="85">
        <v>0</v>
      </c>
      <c r="M255" s="85">
        <v>0</v>
      </c>
      <c r="N255" s="85">
        <v>0</v>
      </c>
      <c r="O255" s="85">
        <v>0</v>
      </c>
      <c r="P255" s="85">
        <v>0</v>
      </c>
      <c r="Q255" s="85">
        <v>0</v>
      </c>
      <c r="R255" s="85">
        <v>0</v>
      </c>
      <c r="S255" s="85">
        <v>0</v>
      </c>
      <c r="T255" s="85">
        <f t="shared" si="107"/>
        <v>30</v>
      </c>
      <c r="U255" s="85"/>
      <c r="V255" s="89">
        <f t="shared" si="84"/>
        <v>3.2628689787154594</v>
      </c>
      <c r="W255" s="89">
        <f t="shared" si="97"/>
        <v>57.543749999999996</v>
      </c>
      <c r="X255" s="89">
        <f t="shared" si="81"/>
        <v>0</v>
      </c>
      <c r="Y255" s="89">
        <f t="shared" si="86"/>
        <v>0</v>
      </c>
      <c r="Z255" s="89">
        <f>IF(ISNUMBER(SEARCH("CCR4", E255)),(T255-K255)*$Z$3, 0)</f>
        <v>6.2086821393722511</v>
      </c>
      <c r="AA255" s="89">
        <f t="shared" si="85"/>
        <v>0</v>
      </c>
      <c r="AB255" s="89">
        <f t="shared" si="98"/>
        <v>0</v>
      </c>
      <c r="AC255" s="89">
        <f t="shared" si="87"/>
        <v>0</v>
      </c>
      <c r="AD255" s="89">
        <f t="shared" si="88"/>
        <v>0</v>
      </c>
      <c r="AE255" s="89">
        <f t="shared" si="89"/>
        <v>0</v>
      </c>
      <c r="AF255" s="89">
        <f t="shared" si="90"/>
        <v>0</v>
      </c>
      <c r="AG255" s="89">
        <f t="shared" si="91"/>
        <v>0</v>
      </c>
      <c r="AH255" s="89">
        <f t="shared" si="92"/>
        <v>0</v>
      </c>
      <c r="AI255" s="89">
        <v>0</v>
      </c>
      <c r="AJ255" s="89"/>
      <c r="AK255" s="89">
        <f>inputs!$E$40*F255</f>
        <v>31.48</v>
      </c>
      <c r="AL255" s="156">
        <f t="shared" si="105"/>
        <v>98.49530111808771</v>
      </c>
      <c r="AM255" s="180"/>
      <c r="AN255" s="180"/>
      <c r="AO255" s="120"/>
      <c r="AP255" s="120"/>
      <c r="AQ255" s="120"/>
      <c r="AR255" s="120"/>
      <c r="AS255" s="121"/>
      <c r="AX255" s="44"/>
      <c r="AY255" s="37">
        <f>SUM(AY240:AY254)</f>
        <v>854.31378304534803</v>
      </c>
    </row>
    <row r="256" spans="1:51" customFormat="1" ht="21" thickTop="1">
      <c r="A256" s="121"/>
      <c r="B256" s="304"/>
      <c r="C256" s="196"/>
      <c r="D256" s="87"/>
      <c r="E256" s="252" t="s">
        <v>552</v>
      </c>
      <c r="F256" s="87"/>
      <c r="G256" s="253">
        <f>($F245*G245)+($F246*G246)+($F247*G247)+($F248*G248)+($F249*G249)+($F250*G250)+($F251*G251)+($F252*G252)+($F253*G253)+($F254*G254)+($F255*G255)+($F244*G244)+($F243*G243)+($F242*G242)+($F241*G241)+$F240*G240+$F239*G239</f>
        <v>15</v>
      </c>
      <c r="H256" s="253">
        <f>($F245*H245)+($F246*H246)+($F247*H247)+($F248*H248)+($F249*H249)+($F250*H250)+($F251*H251)+($F252*H252)+($F253*H253)+($F254*H254)+($F255*H255)+($F244*H244)+($F243*H243)+($F242*H242)+($F241*H241)+$F240*H240+$F239*H239</f>
        <v>30</v>
      </c>
      <c r="I256" s="253">
        <f>($F245*I245)+($F246*I246)+($F247*I247)+($F248*I248)+($F249*I249)+($F250*I250)+($F251*I251)+($F252*I252)+($F253*I253)+($F254*I254)+($F255*I255)+($F244*I244)+($F243*I243)+($F242*I242)+($F241*I241)+$F240*I240+$F239*I239</f>
        <v>160</v>
      </c>
      <c r="J256" s="253">
        <f>($F245*J245)+($F246*J246)+($F247*J247)+($F248*J248)+($F249*J249)+($F250*J250)+($F251*J251)+($F252*J252)+($F253*J253)+($F254*J254)+($F255*J255)+($F244*J244)+($F243*J243)+($F242*J242)+($F241*J241)+$F240*J240+$F239*J239</f>
        <v>180</v>
      </c>
      <c r="K256" s="253">
        <f t="shared" ref="K256:S256" si="109">($F245*K245)+($F246*K246)+($F247*K247)+($F248*K248)+($F249*K249)+($F250*K250)+($F251*K251)+($F252*K252)+($F253*K253)+($F254*K254)+($F255*K255)+($F244*K244)+($F243*K243)+($F242*K242)+($F241*K241)+$F240*K240+$F239*K239</f>
        <v>51.7</v>
      </c>
      <c r="L256" s="253">
        <f t="shared" si="109"/>
        <v>0</v>
      </c>
      <c r="M256" s="253">
        <f t="shared" si="109"/>
        <v>0</v>
      </c>
      <c r="N256" s="253">
        <f t="shared" si="109"/>
        <v>0</v>
      </c>
      <c r="O256" s="253">
        <f t="shared" si="109"/>
        <v>0</v>
      </c>
      <c r="P256" s="253">
        <f t="shared" si="109"/>
        <v>0</v>
      </c>
      <c r="Q256" s="253">
        <f t="shared" si="109"/>
        <v>0</v>
      </c>
      <c r="R256" s="253">
        <f t="shared" si="109"/>
        <v>0</v>
      </c>
      <c r="S256" s="253">
        <f t="shared" si="109"/>
        <v>0</v>
      </c>
      <c r="T256" s="253">
        <f t="shared" ref="T256:AK256" si="110">SUM(T239:T255)</f>
        <v>421.7</v>
      </c>
      <c r="U256" s="253">
        <f t="shared" si="110"/>
        <v>0</v>
      </c>
      <c r="V256" s="253">
        <f t="shared" si="110"/>
        <v>58.91653752567214</v>
      </c>
      <c r="W256" s="253">
        <f t="shared" si="110"/>
        <v>57.543749999999996</v>
      </c>
      <c r="X256" s="253">
        <f t="shared" si="110"/>
        <v>172.26666666666665</v>
      </c>
      <c r="Y256" s="253">
        <f t="shared" si="110"/>
        <v>150.63750000000002</v>
      </c>
      <c r="Z256" s="253">
        <f t="shared" si="110"/>
        <v>55.878139254350259</v>
      </c>
      <c r="AA256" s="253">
        <f t="shared" si="110"/>
        <v>0</v>
      </c>
      <c r="AB256" s="253">
        <f t="shared" si="110"/>
        <v>107.9010543154762</v>
      </c>
      <c r="AC256" s="253">
        <f t="shared" si="110"/>
        <v>23.073820997468438</v>
      </c>
      <c r="AD256" s="253">
        <f t="shared" si="110"/>
        <v>0</v>
      </c>
      <c r="AE256" s="253">
        <f t="shared" si="110"/>
        <v>0</v>
      </c>
      <c r="AF256" s="253">
        <f t="shared" si="110"/>
        <v>0</v>
      </c>
      <c r="AG256" s="253">
        <f t="shared" si="110"/>
        <v>0</v>
      </c>
      <c r="AH256" s="253">
        <f t="shared" si="110"/>
        <v>0</v>
      </c>
      <c r="AI256" s="253">
        <f t="shared" si="110"/>
        <v>13.0106</v>
      </c>
      <c r="AJ256" s="253">
        <f t="shared" si="110"/>
        <v>22.72</v>
      </c>
      <c r="AK256" s="253">
        <f t="shared" si="110"/>
        <v>192.36571428571426</v>
      </c>
      <c r="AL256" s="143">
        <f>SUM(AL239:AL255)</f>
        <v>854.31378304534792</v>
      </c>
      <c r="AM256" s="121"/>
      <c r="AN256" s="121"/>
      <c r="AO256" s="121"/>
      <c r="AP256" s="121"/>
      <c r="AQ256" s="121"/>
      <c r="AR256" s="121"/>
      <c r="AS256" s="121"/>
    </row>
    <row r="257" spans="1:45" customFormat="1">
      <c r="A257" s="121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207"/>
      <c r="Z257" s="121"/>
      <c r="AA257" s="121"/>
      <c r="AB257" s="121"/>
      <c r="AC257" s="121"/>
      <c r="AD257" s="121"/>
      <c r="AE257" s="121"/>
      <c r="AF257" s="121"/>
      <c r="AG257" s="121"/>
      <c r="AH257" s="121"/>
      <c r="AI257" s="121"/>
      <c r="AJ257" s="121"/>
      <c r="AK257" s="121"/>
      <c r="AL257" s="121"/>
      <c r="AM257" s="121"/>
      <c r="AN257" s="121"/>
      <c r="AO257" s="121"/>
      <c r="AP257" s="121"/>
      <c r="AQ257" s="121"/>
      <c r="AR257" s="121"/>
      <c r="AS257" s="121"/>
    </row>
    <row r="258" spans="1:45" customFormat="1">
      <c r="A258" s="121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1"/>
      <c r="AC258" s="121"/>
      <c r="AD258" s="121"/>
      <c r="AE258" s="121"/>
      <c r="AF258" s="121"/>
      <c r="AG258" s="121"/>
      <c r="AH258" s="121"/>
      <c r="AI258" s="121"/>
      <c r="AJ258" s="121"/>
      <c r="AK258" s="121"/>
      <c r="AL258" s="121"/>
      <c r="AM258" s="121"/>
      <c r="AN258" s="121"/>
      <c r="AO258" s="121"/>
      <c r="AP258" s="121"/>
      <c r="AQ258" s="121"/>
      <c r="AR258" s="121"/>
      <c r="AS258" s="121"/>
    </row>
    <row r="259" spans="1:45" customFormat="1">
      <c r="A259" s="121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1"/>
      <c r="AC259" s="121"/>
      <c r="AD259" s="121"/>
      <c r="AE259" s="121"/>
      <c r="AF259" s="121"/>
      <c r="AG259" s="121"/>
      <c r="AH259" s="121"/>
      <c r="AI259" s="121"/>
      <c r="AJ259" s="121"/>
      <c r="AK259" s="121"/>
      <c r="AL259" s="121"/>
      <c r="AM259" s="121"/>
      <c r="AN259" s="121"/>
      <c r="AO259" s="121"/>
      <c r="AP259" s="121"/>
      <c r="AQ259" s="121"/>
      <c r="AR259" s="121"/>
      <c r="AS259" s="121"/>
    </row>
    <row r="260" spans="1:45" customFormat="1" hidden="1"/>
    <row r="261" spans="1:45" customFormat="1" hidden="1"/>
    <row r="262" spans="1:45" customFormat="1" hidden="1"/>
    <row r="263" spans="1:45" customFormat="1" hidden="1"/>
    <row r="264" spans="1:45" customFormat="1" hidden="1"/>
    <row r="265" spans="1:45" customFormat="1" hidden="1"/>
    <row r="266" spans="1:45" customFormat="1" hidden="1"/>
    <row r="267" spans="1:45" customFormat="1" hidden="1"/>
    <row r="268" spans="1:45" customFormat="1" hidden="1"/>
    <row r="269" spans="1:45" customFormat="1" hidden="1"/>
    <row r="270" spans="1:45" customFormat="1" hidden="1"/>
    <row r="271" spans="1:45" customFormat="1" hidden="1"/>
    <row r="272" spans="1:45" customFormat="1" hidden="1"/>
    <row r="273" customFormat="1" hidden="1"/>
    <row r="274" customFormat="1" hidden="1"/>
    <row r="275" customFormat="1" hidden="1"/>
    <row r="276" customFormat="1" hidden="1"/>
    <row r="277" customFormat="1" hidden="1"/>
    <row r="278" customFormat="1" hidden="1"/>
    <row r="279" customFormat="1" hidden="1"/>
    <row r="280" customFormat="1" hidden="1"/>
    <row r="281" customFormat="1" hidden="1"/>
    <row r="282" customFormat="1" hidden="1"/>
    <row r="283" customFormat="1" hidden="1"/>
    <row r="284" customFormat="1" hidden="1"/>
    <row r="285" customFormat="1" hidden="1"/>
    <row r="286" customFormat="1" hidden="1"/>
    <row r="287" customFormat="1" hidden="1"/>
    <row r="288" customFormat="1" hidden="1"/>
    <row r="289" customFormat="1" hidden="1"/>
    <row r="290" customFormat="1" hidden="1"/>
    <row r="291" customFormat="1" hidden="1"/>
    <row r="292" customFormat="1" hidden="1"/>
    <row r="293" customFormat="1" hidden="1"/>
    <row r="294" customFormat="1" hidden="1"/>
    <row r="295" customFormat="1" hidden="1"/>
    <row r="296" customFormat="1" hidden="1"/>
    <row r="297" customFormat="1" hidden="1"/>
    <row r="298" customFormat="1" hidden="1"/>
    <row r="299" customFormat="1" hidden="1"/>
    <row r="300" customFormat="1" hidden="1"/>
    <row r="301" customFormat="1" hidden="1"/>
    <row r="302" customFormat="1" hidden="1"/>
    <row r="303" customFormat="1" hidden="1"/>
    <row r="304" customFormat="1" hidden="1"/>
    <row r="305" customFormat="1" hidden="1"/>
    <row r="306" customFormat="1" hidden="1"/>
    <row r="307" customFormat="1" hidden="1"/>
    <row r="308" customFormat="1" hidden="1"/>
    <row r="309" customFormat="1" hidden="1"/>
    <row r="310" customFormat="1" hidden="1"/>
    <row r="311" customFormat="1" hidden="1"/>
    <row r="312" customFormat="1" hidden="1"/>
    <row r="313" customFormat="1" hidden="1"/>
    <row r="314" customFormat="1" hidden="1"/>
    <row r="315" customFormat="1" hidden="1"/>
    <row r="316" customFormat="1" hidden="1"/>
    <row r="317" customFormat="1" hidden="1"/>
    <row r="318" customFormat="1" hidden="1"/>
    <row r="319" customFormat="1" hidden="1"/>
    <row r="320" customFormat="1" hidden="1"/>
    <row r="321" customFormat="1" hidden="1"/>
    <row r="322" customFormat="1" hidden="1"/>
    <row r="323" customFormat="1" hidden="1"/>
    <row r="324" customFormat="1" hidden="1"/>
    <row r="325" customFormat="1" hidden="1"/>
    <row r="326" customFormat="1" hidden="1"/>
    <row r="327" customFormat="1" hidden="1"/>
    <row r="328" customFormat="1" hidden="1"/>
    <row r="329" customFormat="1" hidden="1"/>
    <row r="330" customFormat="1" hidden="1"/>
    <row r="331" customFormat="1" hidden="1"/>
    <row r="332" customFormat="1" hidden="1"/>
    <row r="333" customFormat="1" hidden="1"/>
    <row r="334" customFormat="1" hidden="1"/>
    <row r="335" customFormat="1" hidden="1"/>
    <row r="336" customFormat="1" hidden="1"/>
    <row r="337" customFormat="1" hidden="1"/>
    <row r="338" customFormat="1" hidden="1"/>
    <row r="339" customFormat="1" hidden="1"/>
    <row r="340" customFormat="1" hidden="1"/>
    <row r="341" customFormat="1" hidden="1"/>
    <row r="342" customFormat="1" hidden="1"/>
    <row r="343" customFormat="1" hidden="1"/>
    <row r="344" customFormat="1" hidden="1"/>
    <row r="345" customFormat="1" hidden="1"/>
    <row r="346" customFormat="1" hidden="1"/>
    <row r="347" customFormat="1" hidden="1"/>
    <row r="348" customFormat="1" hidden="1"/>
    <row r="349" customFormat="1" hidden="1"/>
    <row r="350" customFormat="1" hidden="1"/>
    <row r="351" customFormat="1" hidden="1"/>
    <row r="352" customFormat="1" hidden="1"/>
    <row r="353" customFormat="1" hidden="1"/>
    <row r="354" customFormat="1" hidden="1"/>
    <row r="355" customFormat="1" hidden="1"/>
    <row r="356" customFormat="1" hidden="1"/>
    <row r="357" customFormat="1" hidden="1"/>
    <row r="358" customFormat="1" hidden="1"/>
    <row r="359" customFormat="1" hidden="1"/>
    <row r="360" customFormat="1" hidden="1"/>
    <row r="361" customFormat="1" hidden="1"/>
    <row r="362" customFormat="1" hidden="1"/>
    <row r="363" customFormat="1" hidden="1"/>
    <row r="364" customFormat="1" hidden="1"/>
    <row r="365" customFormat="1" hidden="1"/>
    <row r="366" customFormat="1" hidden="1"/>
    <row r="367" customFormat="1" hidden="1"/>
    <row r="368" customFormat="1" hidden="1"/>
    <row r="369" customFormat="1" hidden="1"/>
    <row r="370" customFormat="1" hidden="1"/>
    <row r="371" customFormat="1" hidden="1"/>
    <row r="372" customFormat="1" hidden="1"/>
    <row r="373" customFormat="1" hidden="1"/>
    <row r="374" customFormat="1" hidden="1"/>
    <row r="375" customFormat="1" hidden="1"/>
    <row r="376" customFormat="1" hidden="1"/>
    <row r="377" customFormat="1" hidden="1"/>
    <row r="378" customFormat="1" hidden="1"/>
    <row r="379" customFormat="1" hidden="1"/>
    <row r="380" customFormat="1" hidden="1"/>
    <row r="381" customFormat="1" hidden="1"/>
    <row r="382" customFormat="1" hidden="1"/>
    <row r="383" customFormat="1" hidden="1"/>
    <row r="384" customFormat="1" hidden="1"/>
    <row r="385" spans="3:67" customFormat="1" hidden="1"/>
    <row r="386" spans="3:67" customFormat="1" hidden="1"/>
    <row r="387" spans="3:67" customFormat="1" hidden="1"/>
    <row r="388" spans="3:67" customFormat="1" hidden="1"/>
    <row r="389" spans="3:67" customFormat="1" hidden="1"/>
    <row r="390" spans="3:67" customFormat="1" hidden="1"/>
    <row r="391" spans="3:67" customFormat="1" hidden="1"/>
    <row r="392" spans="3:67" customFormat="1" hidden="1"/>
    <row r="393" spans="3:67" customFormat="1" hidden="1">
      <c r="F393" s="16"/>
    </row>
    <row r="394" spans="3:67" s="1" customFormat="1" hidden="1">
      <c r="C394" s="14"/>
      <c r="F394" s="17"/>
      <c r="G394" s="18"/>
      <c r="T394" s="9"/>
      <c r="U394" s="9"/>
      <c r="V394" s="9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</row>
    <row r="395" spans="3:67" s="1" customFormat="1" hidden="1">
      <c r="C395" s="14"/>
      <c r="F395" s="17"/>
      <c r="G395" s="18"/>
      <c r="T395" s="9"/>
      <c r="U395" s="9"/>
      <c r="V395" s="9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</row>
    <row r="396" spans="3:67" s="1" customFormat="1" hidden="1">
      <c r="C396" s="14"/>
      <c r="F396" s="17"/>
      <c r="G396" s="18"/>
      <c r="T396" s="9"/>
      <c r="U396" s="9"/>
      <c r="V396" s="9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</row>
    <row r="397" spans="3:67" s="1" customFormat="1" hidden="1">
      <c r="C397" s="14"/>
      <c r="F397" s="17"/>
      <c r="G397" s="18"/>
      <c r="T397" s="9"/>
      <c r="U397" s="9"/>
      <c r="V397" s="9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</row>
    <row r="398" spans="3:67" s="1" customFormat="1" hidden="1">
      <c r="C398" s="14"/>
      <c r="F398" s="17"/>
      <c r="G398" s="18"/>
      <c r="T398" s="9"/>
      <c r="U398" s="9"/>
      <c r="V398" s="9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</row>
    <row r="399" spans="3:67" s="1" customFormat="1" hidden="1">
      <c r="C399" s="14"/>
      <c r="F399" s="17"/>
      <c r="G399" s="18"/>
      <c r="T399" s="9"/>
      <c r="U399" s="9"/>
      <c r="V399" s="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</row>
    <row r="400" spans="3:67" s="1" customFormat="1" hidden="1">
      <c r="C400" s="14"/>
      <c r="F400" s="17"/>
      <c r="G400" s="18"/>
      <c r="T400" s="9"/>
      <c r="U400" s="9"/>
      <c r="V400" s="9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</row>
    <row r="401" spans="3:67" s="1" customFormat="1" hidden="1">
      <c r="C401" s="14"/>
      <c r="F401" s="17"/>
      <c r="G401" s="18"/>
      <c r="T401" s="9"/>
      <c r="U401" s="9"/>
      <c r="V401" s="9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</row>
    <row r="402" spans="3:67" s="1" customFormat="1" hidden="1">
      <c r="C402" s="14"/>
      <c r="F402" s="17"/>
      <c r="G402" s="18"/>
      <c r="T402" s="9"/>
      <c r="U402" s="9"/>
      <c r="V402" s="9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</row>
    <row r="403" spans="3:67" s="1" customFormat="1" hidden="1">
      <c r="C403" s="14"/>
      <c r="F403" s="17"/>
      <c r="G403" s="18"/>
      <c r="T403" s="9"/>
      <c r="U403" s="9"/>
      <c r="V403" s="9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</row>
    <row r="404" spans="3:67" s="1" customFormat="1" hidden="1">
      <c r="C404" s="14"/>
      <c r="F404" s="17"/>
      <c r="G404" s="18"/>
      <c r="T404" s="9"/>
      <c r="U404" s="9"/>
      <c r="V404" s="9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</row>
    <row r="405" spans="3:67" s="1" customFormat="1" hidden="1">
      <c r="C405" s="14"/>
      <c r="F405" s="17"/>
      <c r="G405" s="18"/>
      <c r="T405" s="9"/>
      <c r="U405" s="9"/>
      <c r="V405" s="9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</row>
    <row r="406" spans="3:67" s="1" customFormat="1" hidden="1">
      <c r="C406" s="14"/>
      <c r="F406" s="17"/>
      <c r="G406" s="18"/>
      <c r="T406" s="9"/>
      <c r="U406" s="9"/>
      <c r="V406" s="9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</row>
    <row r="407" spans="3:67" s="1" customFormat="1" hidden="1">
      <c r="C407" s="14"/>
      <c r="F407" s="17"/>
      <c r="G407" s="18"/>
      <c r="T407" s="9"/>
      <c r="U407" s="9"/>
      <c r="V407" s="9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</row>
    <row r="408" spans="3:67" s="1" customFormat="1" hidden="1">
      <c r="C408" s="14"/>
      <c r="F408" s="17"/>
      <c r="G408" s="18"/>
      <c r="T408" s="9"/>
      <c r="U408" s="9"/>
      <c r="V408" s="9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</row>
    <row r="409" spans="3:67" s="1" customFormat="1" hidden="1">
      <c r="C409" s="14"/>
      <c r="F409" s="17"/>
      <c r="G409" s="18"/>
      <c r="T409" s="9"/>
      <c r="U409" s="9"/>
      <c r="V409" s="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</row>
    <row r="410" spans="3:67" s="1" customFormat="1" hidden="1">
      <c r="C410" s="14"/>
      <c r="F410" s="17"/>
      <c r="G410" s="18"/>
      <c r="T410" s="9"/>
      <c r="U410" s="9"/>
      <c r="V410" s="9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</row>
    <row r="411" spans="3:67" s="1" customFormat="1" hidden="1">
      <c r="C411" s="14"/>
      <c r="F411" s="17"/>
      <c r="G411" s="18"/>
      <c r="T411" s="9"/>
      <c r="U411" s="9"/>
      <c r="V411" s="9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</row>
    <row r="412" spans="3:67" s="1" customFormat="1" hidden="1">
      <c r="C412" s="14"/>
      <c r="F412" s="17"/>
      <c r="G412" s="18"/>
      <c r="T412" s="9"/>
      <c r="U412" s="9"/>
      <c r="V412" s="9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</row>
    <row r="413" spans="3:67" s="1" customFormat="1" hidden="1">
      <c r="C413" s="14"/>
      <c r="F413" s="17"/>
      <c r="G413" s="18"/>
      <c r="T413" s="9"/>
      <c r="U413" s="9"/>
      <c r="V413" s="9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</row>
    <row r="414" spans="3:67" s="1" customFormat="1" hidden="1">
      <c r="C414" s="14"/>
      <c r="F414" s="17"/>
      <c r="G414" s="18"/>
      <c r="T414" s="9"/>
      <c r="U414" s="9"/>
      <c r="V414" s="9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</row>
    <row r="415" spans="3:67" s="1" customFormat="1" hidden="1">
      <c r="C415" s="14"/>
      <c r="F415" s="17"/>
      <c r="G415" s="18"/>
      <c r="T415" s="9"/>
      <c r="U415" s="9"/>
      <c r="V415" s="9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</row>
    <row r="416" spans="3:67" s="1" customFormat="1" hidden="1">
      <c r="C416" s="14"/>
      <c r="F416" s="17"/>
      <c r="G416" s="18"/>
      <c r="T416" s="9"/>
      <c r="U416" s="9"/>
      <c r="V416" s="9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</row>
    <row r="417" spans="3:67" s="1" customFormat="1" hidden="1">
      <c r="C417" s="14"/>
      <c r="F417" s="17"/>
      <c r="G417" s="18"/>
      <c r="T417" s="9"/>
      <c r="U417" s="9"/>
      <c r="V417" s="9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</row>
    <row r="418" spans="3:67" s="1" customFormat="1" hidden="1">
      <c r="C418" s="14"/>
      <c r="F418" s="17"/>
      <c r="G418" s="18"/>
      <c r="T418" s="9"/>
      <c r="U418" s="9"/>
      <c r="V418" s="9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</row>
    <row r="419" spans="3:67" s="1" customFormat="1" hidden="1">
      <c r="C419" s="14"/>
      <c r="F419" s="17"/>
      <c r="G419" s="18"/>
      <c r="T419" s="9"/>
      <c r="U419" s="9"/>
      <c r="V419" s="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</row>
    <row r="420" spans="3:67" s="1" customFormat="1" hidden="1">
      <c r="C420" s="14"/>
      <c r="F420" s="17"/>
      <c r="G420" s="18"/>
      <c r="T420" s="9"/>
      <c r="U420" s="9"/>
      <c r="V420" s="9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</row>
    <row r="421" spans="3:67" s="1" customFormat="1" hidden="1">
      <c r="C421" s="14"/>
      <c r="F421" s="17"/>
      <c r="G421" s="18"/>
      <c r="T421" s="9"/>
      <c r="U421" s="9"/>
      <c r="V421" s="9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</row>
    <row r="422" spans="3:67" s="1" customFormat="1" hidden="1">
      <c r="C422" s="14"/>
      <c r="F422" s="17"/>
      <c r="G422" s="18"/>
      <c r="T422" s="9"/>
      <c r="U422" s="9"/>
      <c r="V422" s="9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</row>
    <row r="423" spans="3:67" s="1" customFormat="1" hidden="1">
      <c r="C423" s="14"/>
      <c r="F423" s="17"/>
      <c r="G423" s="18"/>
      <c r="T423" s="9"/>
      <c r="U423" s="9"/>
      <c r="V423" s="9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</row>
    <row r="424" spans="3:67" s="1" customFormat="1" hidden="1">
      <c r="C424" s="14"/>
      <c r="F424" s="17"/>
      <c r="G424" s="18"/>
      <c r="T424" s="9"/>
      <c r="U424" s="9"/>
      <c r="V424" s="9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</row>
    <row r="425" spans="3:67" s="1" customFormat="1" hidden="1">
      <c r="C425" s="14"/>
      <c r="F425" s="17"/>
      <c r="G425" s="18"/>
      <c r="T425" s="9"/>
      <c r="U425" s="9"/>
      <c r="V425" s="9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</row>
    <row r="426" spans="3:67" s="1" customFormat="1" hidden="1">
      <c r="C426" s="14"/>
      <c r="F426" s="17"/>
      <c r="G426" s="18"/>
      <c r="T426" s="9"/>
      <c r="U426" s="9"/>
      <c r="V426" s="9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</row>
    <row r="427" spans="3:67" s="1" customFormat="1" hidden="1">
      <c r="C427" s="14"/>
      <c r="F427" s="17"/>
      <c r="G427" s="18"/>
      <c r="T427" s="9"/>
      <c r="U427" s="9"/>
      <c r="V427" s="9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</row>
    <row r="428" spans="3:67" s="1" customFormat="1" hidden="1">
      <c r="C428" s="14"/>
      <c r="F428" s="17"/>
      <c r="G428" s="18"/>
      <c r="T428" s="9"/>
      <c r="U428" s="9"/>
      <c r="V428" s="9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</row>
    <row r="429" spans="3:67" s="1" customFormat="1" hidden="1">
      <c r="C429" s="14"/>
      <c r="F429" s="17"/>
      <c r="G429" s="18"/>
      <c r="T429" s="9"/>
      <c r="U429" s="9"/>
      <c r="V429" s="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</row>
    <row r="430" spans="3:67" s="1" customFormat="1" hidden="1">
      <c r="C430" s="14"/>
      <c r="F430" s="17"/>
      <c r="G430" s="18"/>
      <c r="T430" s="9"/>
      <c r="U430" s="9"/>
      <c r="V430" s="9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</row>
    <row r="431" spans="3:67" s="1" customFormat="1" hidden="1">
      <c r="C431" s="14"/>
      <c r="F431" s="17"/>
      <c r="G431" s="18"/>
      <c r="T431" s="9"/>
      <c r="U431" s="9"/>
      <c r="V431" s="9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</row>
    <row r="432" spans="3:67" s="1" customFormat="1" hidden="1">
      <c r="C432" s="14"/>
      <c r="F432" s="17"/>
      <c r="G432" s="18"/>
      <c r="T432" s="9"/>
      <c r="U432" s="9"/>
      <c r="V432" s="9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</row>
    <row r="433" spans="3:67" s="1" customFormat="1" hidden="1">
      <c r="C433" s="14"/>
      <c r="F433" s="17"/>
      <c r="G433" s="18"/>
      <c r="T433" s="9"/>
      <c r="U433" s="9"/>
      <c r="V433" s="9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</row>
    <row r="434" spans="3:67" s="1" customFormat="1" hidden="1">
      <c r="C434" s="14"/>
      <c r="F434" s="17"/>
      <c r="G434" s="18"/>
      <c r="T434" s="9"/>
      <c r="U434" s="9"/>
      <c r="V434" s="9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</row>
    <row r="435" spans="3:67" s="1" customFormat="1" hidden="1">
      <c r="C435" s="14"/>
      <c r="F435" s="17"/>
      <c r="G435" s="18"/>
      <c r="T435" s="9"/>
      <c r="U435" s="9"/>
      <c r="V435" s="9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</row>
    <row r="436" spans="3:67" s="1" customFormat="1" hidden="1">
      <c r="C436" s="14"/>
      <c r="F436" s="17"/>
      <c r="G436" s="18"/>
      <c r="T436" s="9"/>
      <c r="U436" s="9"/>
      <c r="V436" s="9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</row>
    <row r="437" spans="3:67" s="1" customFormat="1" hidden="1">
      <c r="C437" s="14"/>
      <c r="F437" s="17"/>
      <c r="G437" s="18"/>
      <c r="T437" s="9"/>
      <c r="U437" s="9"/>
      <c r="V437" s="9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</row>
    <row r="438" spans="3:67" s="1" customFormat="1" hidden="1">
      <c r="C438" s="14"/>
      <c r="F438" s="17"/>
      <c r="G438" s="18"/>
      <c r="T438" s="9"/>
      <c r="U438" s="9"/>
      <c r="V438" s="9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</row>
    <row r="439" spans="3:67" s="1" customFormat="1" hidden="1">
      <c r="C439" s="14"/>
      <c r="F439" s="17"/>
      <c r="G439" s="18"/>
      <c r="T439" s="9"/>
      <c r="U439" s="9"/>
      <c r="V439" s="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</row>
    <row r="440" spans="3:67" s="1" customFormat="1" hidden="1">
      <c r="C440" s="14"/>
      <c r="F440" s="17"/>
      <c r="G440" s="18"/>
      <c r="T440" s="9"/>
      <c r="U440" s="9"/>
      <c r="V440" s="9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</row>
    <row r="441" spans="3:67" s="1" customFormat="1" hidden="1">
      <c r="C441" s="14"/>
      <c r="F441" s="17"/>
      <c r="G441" s="18"/>
      <c r="T441" s="9"/>
      <c r="U441" s="9"/>
      <c r="V441" s="9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</row>
    <row r="442" spans="3:67" s="1" customFormat="1" hidden="1">
      <c r="C442" s="14"/>
      <c r="F442" s="17"/>
      <c r="G442" s="18"/>
      <c r="T442" s="9"/>
      <c r="U442" s="9"/>
      <c r="V442" s="9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</row>
    <row r="443" spans="3:67" s="1" customFormat="1" hidden="1">
      <c r="C443" s="14"/>
      <c r="F443" s="17"/>
      <c r="G443" s="18"/>
      <c r="T443" s="9"/>
      <c r="U443" s="9"/>
      <c r="V443" s="9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</row>
    <row r="444" spans="3:67" s="1" customFormat="1" hidden="1">
      <c r="C444" s="14"/>
      <c r="F444" s="17"/>
      <c r="G444" s="18"/>
      <c r="T444" s="9"/>
      <c r="U444" s="9"/>
      <c r="V444" s="9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</row>
    <row r="445" spans="3:67" s="1" customFormat="1" hidden="1">
      <c r="C445" s="14"/>
      <c r="F445" s="17"/>
      <c r="G445" s="18"/>
      <c r="T445" s="9"/>
      <c r="U445" s="9"/>
      <c r="V445" s="9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</row>
    <row r="446" spans="3:67" s="1" customFormat="1" hidden="1">
      <c r="C446" s="14"/>
      <c r="F446" s="17"/>
      <c r="G446" s="18"/>
      <c r="T446" s="9"/>
      <c r="U446" s="9"/>
      <c r="V446" s="9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</row>
    <row r="447" spans="3:67" s="1" customFormat="1" hidden="1">
      <c r="C447" s="14"/>
      <c r="F447" s="17"/>
      <c r="G447" s="18"/>
      <c r="T447" s="9"/>
      <c r="U447" s="9"/>
      <c r="V447" s="9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</row>
    <row r="448" spans="3:67" s="1" customFormat="1" hidden="1">
      <c r="C448" s="14"/>
      <c r="F448" s="17"/>
      <c r="G448" s="18"/>
      <c r="T448" s="9"/>
      <c r="U448" s="9"/>
      <c r="V448" s="9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</row>
    <row r="449" spans="3:67" s="1" customFormat="1" hidden="1">
      <c r="C449" s="14"/>
      <c r="F449" s="17"/>
      <c r="G449" s="18"/>
      <c r="T449" s="9"/>
      <c r="U449" s="9"/>
      <c r="V449" s="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</row>
    <row r="450" spans="3:67" s="1" customFormat="1" hidden="1">
      <c r="C450" s="14"/>
      <c r="F450" s="17"/>
      <c r="G450" s="18"/>
      <c r="T450" s="9"/>
      <c r="U450" s="9"/>
      <c r="V450" s="9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</row>
    <row r="451" spans="3:67" s="1" customFormat="1" hidden="1">
      <c r="C451" s="14"/>
      <c r="F451" s="17"/>
      <c r="G451" s="18"/>
      <c r="T451" s="9"/>
      <c r="U451" s="9"/>
      <c r="V451" s="9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</row>
    <row r="452" spans="3:67" s="1" customFormat="1" hidden="1">
      <c r="C452" s="14"/>
      <c r="F452" s="17"/>
      <c r="G452" s="18"/>
      <c r="T452" s="9"/>
      <c r="U452" s="9"/>
      <c r="V452" s="9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</row>
    <row r="453" spans="3:67" s="1" customFormat="1" hidden="1">
      <c r="C453" s="14"/>
      <c r="F453" s="17"/>
      <c r="G453" s="18"/>
      <c r="T453" s="9"/>
      <c r="U453" s="9"/>
      <c r="V453" s="9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</row>
    <row r="454" spans="3:67" s="1" customFormat="1" hidden="1">
      <c r="C454" s="14"/>
      <c r="F454" s="17"/>
      <c r="G454" s="18"/>
      <c r="T454" s="9"/>
      <c r="U454" s="9"/>
      <c r="V454" s="9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</row>
    <row r="455" spans="3:67" s="1" customFormat="1" hidden="1">
      <c r="C455" s="14"/>
      <c r="F455" s="17"/>
      <c r="G455" s="18"/>
      <c r="T455" s="9"/>
      <c r="U455" s="9"/>
      <c r="V455" s="9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</row>
    <row r="456" spans="3:67" s="1" customFormat="1" hidden="1">
      <c r="C456" s="14"/>
      <c r="F456" s="17"/>
      <c r="G456" s="18"/>
      <c r="T456" s="9"/>
      <c r="U456" s="9"/>
      <c r="V456" s="9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</row>
    <row r="457" spans="3:67" s="1" customFormat="1" hidden="1">
      <c r="C457" s="14"/>
      <c r="F457" s="17"/>
      <c r="G457" s="18"/>
      <c r="T457" s="9"/>
      <c r="U457" s="9"/>
      <c r="V457" s="9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</row>
    <row r="458" spans="3:67" s="1" customFormat="1" hidden="1">
      <c r="C458" s="14"/>
      <c r="F458" s="17"/>
      <c r="G458" s="18"/>
      <c r="T458" s="9"/>
      <c r="U458" s="9"/>
      <c r="V458" s="9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</row>
    <row r="459" spans="3:67" s="1" customFormat="1" hidden="1">
      <c r="C459" s="14"/>
      <c r="F459" s="17"/>
      <c r="G459" s="18"/>
      <c r="T459" s="9"/>
      <c r="U459" s="9"/>
      <c r="V459" s="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</row>
    <row r="460" spans="3:67" s="1" customFormat="1" hidden="1">
      <c r="C460" s="14"/>
      <c r="F460" s="17"/>
      <c r="G460" s="18"/>
      <c r="T460" s="9"/>
      <c r="U460" s="9"/>
      <c r="V460" s="9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</row>
    <row r="461" spans="3:67" s="1" customFormat="1" hidden="1">
      <c r="C461" s="14"/>
      <c r="F461" s="17"/>
      <c r="G461" s="18"/>
      <c r="T461" s="9"/>
      <c r="U461" s="9"/>
      <c r="V461" s="9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</row>
    <row r="462" spans="3:67" s="1" customFormat="1" hidden="1">
      <c r="C462" s="14"/>
      <c r="F462" s="17"/>
      <c r="G462" s="18"/>
      <c r="T462" s="9"/>
      <c r="U462" s="9"/>
      <c r="V462" s="9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</row>
    <row r="463" spans="3:67" s="1" customFormat="1" hidden="1">
      <c r="C463" s="14"/>
      <c r="F463" s="17"/>
      <c r="G463" s="18"/>
      <c r="T463" s="9"/>
      <c r="U463" s="9"/>
      <c r="V463" s="9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</row>
    <row r="464" spans="3:67" s="1" customFormat="1" hidden="1">
      <c r="C464" s="14"/>
      <c r="F464" s="17"/>
      <c r="G464" s="18"/>
      <c r="T464" s="9"/>
      <c r="U464" s="9"/>
      <c r="V464" s="9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</row>
    <row r="465" spans="3:67" s="1" customFormat="1" hidden="1">
      <c r="C465" s="14"/>
      <c r="F465" s="17"/>
      <c r="G465" s="18"/>
      <c r="T465" s="9"/>
      <c r="U465" s="9"/>
      <c r="V465" s="9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</row>
    <row r="466" spans="3:67" s="1" customFormat="1" hidden="1">
      <c r="C466" s="14"/>
      <c r="F466" s="17"/>
      <c r="G466" s="18"/>
      <c r="T466" s="9"/>
      <c r="U466" s="9"/>
      <c r="V466" s="9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</row>
    <row r="467" spans="3:67" s="1" customFormat="1" hidden="1">
      <c r="C467" s="14"/>
      <c r="F467" s="17"/>
      <c r="G467" s="18"/>
      <c r="T467" s="9"/>
      <c r="U467" s="9"/>
      <c r="V467" s="9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</row>
    <row r="468" spans="3:67" s="1" customFormat="1" hidden="1">
      <c r="C468" s="14"/>
      <c r="F468" s="17"/>
      <c r="G468" s="18"/>
      <c r="T468" s="9"/>
      <c r="U468" s="9"/>
      <c r="V468" s="9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</row>
    <row r="469" spans="3:67" s="1" customFormat="1" hidden="1">
      <c r="C469" s="14"/>
      <c r="F469" s="17"/>
      <c r="G469" s="18"/>
      <c r="T469" s="9"/>
      <c r="U469" s="9"/>
      <c r="V469" s="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</row>
    <row r="470" spans="3:67" s="1" customFormat="1" hidden="1">
      <c r="C470" s="14"/>
      <c r="F470" s="17"/>
      <c r="G470" s="18"/>
      <c r="T470" s="9"/>
      <c r="U470" s="9"/>
      <c r="V470" s="9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</row>
    <row r="471" spans="3:67" s="1" customFormat="1" hidden="1">
      <c r="C471" s="14"/>
      <c r="F471" s="17"/>
      <c r="G471" s="18"/>
      <c r="T471" s="9"/>
      <c r="U471" s="9"/>
      <c r="V471" s="9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</row>
    <row r="472" spans="3:67" s="1" customFormat="1" hidden="1">
      <c r="C472" s="14"/>
      <c r="F472" s="17"/>
      <c r="G472" s="18"/>
      <c r="T472" s="9"/>
      <c r="U472" s="9"/>
      <c r="V472" s="9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</row>
    <row r="473" spans="3:67" s="1" customFormat="1" hidden="1">
      <c r="C473" s="14"/>
      <c r="F473" s="17"/>
      <c r="G473" s="18"/>
      <c r="T473" s="9"/>
      <c r="U473" s="9"/>
      <c r="V473" s="9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</row>
    <row r="474" spans="3:67" s="1" customFormat="1" hidden="1">
      <c r="C474" s="14"/>
      <c r="F474" s="17"/>
      <c r="G474" s="18"/>
      <c r="T474" s="9"/>
      <c r="U474" s="9"/>
      <c r="V474" s="9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</row>
    <row r="475" spans="3:67" s="1" customFormat="1" hidden="1">
      <c r="C475" s="14"/>
      <c r="F475" s="17"/>
      <c r="G475" s="18"/>
      <c r="T475" s="9"/>
      <c r="U475" s="9"/>
      <c r="V475" s="9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</row>
    <row r="476" spans="3:67" s="1" customFormat="1" hidden="1">
      <c r="C476" s="14"/>
      <c r="F476" s="17"/>
      <c r="G476" s="18"/>
      <c r="T476" s="9"/>
      <c r="U476" s="9"/>
      <c r="V476" s="9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</row>
    <row r="477" spans="3:67" s="1" customFormat="1" hidden="1">
      <c r="C477" s="14"/>
      <c r="F477" s="17"/>
      <c r="G477" s="18"/>
      <c r="T477" s="9"/>
      <c r="U477" s="9"/>
      <c r="V477" s="9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</row>
    <row r="478" spans="3:67" s="1" customFormat="1" hidden="1">
      <c r="C478" s="14"/>
      <c r="F478" s="17"/>
      <c r="G478" s="18"/>
      <c r="T478" s="9"/>
      <c r="U478" s="9"/>
      <c r="V478" s="9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</row>
    <row r="479" spans="3:67" s="1" customFormat="1" hidden="1">
      <c r="C479" s="14"/>
      <c r="F479" s="17"/>
      <c r="G479" s="18"/>
      <c r="T479" s="9"/>
      <c r="U479" s="9"/>
      <c r="V479" s="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</row>
    <row r="480" spans="3:67" s="1" customFormat="1" hidden="1">
      <c r="C480" s="14"/>
      <c r="F480" s="17"/>
      <c r="G480" s="18"/>
      <c r="T480" s="9"/>
      <c r="U480" s="9"/>
      <c r="V480" s="9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</row>
    <row r="481" spans="3:67" s="1" customFormat="1" hidden="1">
      <c r="C481" s="14"/>
      <c r="F481" s="17"/>
      <c r="G481" s="18"/>
      <c r="T481" s="9"/>
      <c r="U481" s="9"/>
      <c r="V481" s="9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</row>
    <row r="482" spans="3:67" s="1" customFormat="1" hidden="1">
      <c r="C482" s="14"/>
      <c r="F482" s="17"/>
      <c r="G482" s="18"/>
      <c r="T482" s="9"/>
      <c r="U482" s="9"/>
      <c r="V482" s="9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</row>
    <row r="483" spans="3:67" s="1" customFormat="1" hidden="1">
      <c r="C483" s="14"/>
      <c r="F483" s="17"/>
      <c r="G483" s="18"/>
      <c r="T483" s="9"/>
      <c r="U483" s="9"/>
      <c r="V483" s="9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</row>
    <row r="484" spans="3:67" s="1" customFormat="1" hidden="1">
      <c r="C484" s="14"/>
      <c r="F484" s="17"/>
      <c r="G484" s="18"/>
      <c r="T484" s="9"/>
      <c r="U484" s="9"/>
      <c r="V484" s="9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</row>
    <row r="485" spans="3:67" s="1" customFormat="1" hidden="1">
      <c r="C485" s="14"/>
      <c r="F485" s="17"/>
      <c r="G485" s="18"/>
      <c r="T485" s="9"/>
      <c r="U485" s="9"/>
      <c r="V485" s="9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</row>
    <row r="486" spans="3:67" s="1" customFormat="1" hidden="1">
      <c r="C486" s="14"/>
      <c r="F486" s="17"/>
      <c r="G486" s="18"/>
      <c r="T486" s="9"/>
      <c r="U486" s="9"/>
      <c r="V486" s="9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</row>
    <row r="487" spans="3:67" s="1" customFormat="1" hidden="1">
      <c r="C487" s="14"/>
      <c r="F487" s="17"/>
      <c r="G487" s="18"/>
      <c r="T487" s="9"/>
      <c r="U487" s="9"/>
      <c r="V487" s="9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</row>
    <row r="488" spans="3:67" s="1" customFormat="1" hidden="1">
      <c r="C488" s="14"/>
      <c r="F488" s="17"/>
      <c r="G488" s="18"/>
      <c r="T488" s="9"/>
      <c r="U488" s="9"/>
      <c r="V488" s="9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</row>
    <row r="489" spans="3:67" s="1" customFormat="1" hidden="1">
      <c r="C489" s="14"/>
      <c r="F489" s="17"/>
      <c r="G489" s="18"/>
      <c r="T489" s="9"/>
      <c r="U489" s="9"/>
      <c r="V489" s="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</row>
    <row r="490" spans="3:67" s="1" customFormat="1" hidden="1">
      <c r="C490" s="14"/>
      <c r="F490" s="17"/>
      <c r="G490" s="18"/>
      <c r="T490" s="9"/>
      <c r="U490" s="9"/>
      <c r="V490" s="9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</row>
    <row r="491" spans="3:67" s="1" customFormat="1" hidden="1">
      <c r="C491" s="14"/>
      <c r="F491" s="17"/>
      <c r="G491" s="18"/>
      <c r="T491" s="9"/>
      <c r="U491" s="9"/>
      <c r="V491" s="9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</row>
    <row r="492" spans="3:67" s="1" customFormat="1" hidden="1">
      <c r="C492" s="14"/>
      <c r="F492" s="17"/>
      <c r="G492" s="18"/>
      <c r="T492" s="9"/>
      <c r="U492" s="9"/>
      <c r="V492" s="9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</row>
    <row r="493" spans="3:67" s="1" customFormat="1" hidden="1">
      <c r="C493" s="14"/>
      <c r="F493" s="17"/>
      <c r="G493" s="18"/>
      <c r="T493" s="9"/>
      <c r="U493" s="9"/>
      <c r="V493" s="9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</row>
    <row r="494" spans="3:67" s="1" customFormat="1" hidden="1">
      <c r="C494" s="14"/>
      <c r="F494" s="17"/>
      <c r="G494" s="18"/>
      <c r="T494" s="9"/>
      <c r="U494" s="9"/>
      <c r="V494" s="9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</row>
    <row r="495" spans="3:67" s="1" customFormat="1" hidden="1">
      <c r="C495" s="14"/>
      <c r="F495" s="17"/>
      <c r="G495" s="18"/>
      <c r="T495" s="9"/>
      <c r="U495" s="9"/>
      <c r="V495" s="9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</row>
    <row r="496" spans="3:67" s="1" customFormat="1" hidden="1">
      <c r="C496" s="14"/>
      <c r="F496" s="17"/>
      <c r="G496" s="18"/>
      <c r="T496" s="9"/>
      <c r="U496" s="9"/>
      <c r="V496" s="9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</row>
    <row r="497" spans="3:67" s="1" customFormat="1" hidden="1">
      <c r="C497" s="14"/>
      <c r="F497" s="17"/>
      <c r="G497" s="18"/>
      <c r="T497" s="9"/>
      <c r="U497" s="9"/>
      <c r="V497" s="9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</row>
    <row r="498" spans="3:67" s="1" customFormat="1" hidden="1">
      <c r="C498" s="14"/>
      <c r="F498" s="17"/>
      <c r="G498" s="18"/>
      <c r="T498" s="9"/>
      <c r="U498" s="9"/>
      <c r="V498" s="9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</row>
    <row r="499" spans="3:67" s="1" customFormat="1" hidden="1">
      <c r="C499" s="14"/>
      <c r="F499" s="17"/>
      <c r="G499" s="18"/>
      <c r="T499" s="9"/>
      <c r="U499" s="9"/>
      <c r="V499" s="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</row>
    <row r="500" spans="3:67" s="1" customFormat="1" hidden="1">
      <c r="C500" s="14"/>
      <c r="F500" s="17"/>
      <c r="G500" s="18"/>
      <c r="T500" s="9"/>
      <c r="U500" s="9"/>
      <c r="V500" s="9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</row>
    <row r="501" spans="3:67" s="1" customFormat="1" hidden="1">
      <c r="C501" s="14"/>
      <c r="F501" s="17"/>
      <c r="G501" s="18"/>
      <c r="T501" s="9"/>
      <c r="U501" s="9"/>
      <c r="V501" s="9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</row>
    <row r="502" spans="3:67" s="1" customFormat="1" hidden="1">
      <c r="C502" s="14"/>
      <c r="F502" s="17"/>
      <c r="G502" s="18"/>
      <c r="T502" s="9"/>
      <c r="U502" s="9"/>
      <c r="V502" s="9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</row>
    <row r="503" spans="3:67" s="1" customFormat="1" hidden="1">
      <c r="C503" s="14"/>
      <c r="F503" s="17"/>
      <c r="G503" s="18"/>
      <c r="T503" s="9"/>
      <c r="U503" s="9"/>
      <c r="V503" s="9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</row>
    <row r="504" spans="3:67" s="1" customFormat="1" hidden="1">
      <c r="C504" s="14"/>
      <c r="F504" s="17"/>
      <c r="G504" s="18"/>
      <c r="T504" s="9"/>
      <c r="U504" s="9"/>
      <c r="V504" s="9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</row>
    <row r="505" spans="3:67" s="1" customFormat="1" hidden="1">
      <c r="C505" s="14"/>
      <c r="F505" s="17"/>
      <c r="G505" s="18"/>
      <c r="T505" s="9"/>
      <c r="U505" s="9"/>
      <c r="V505" s="9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</row>
    <row r="506" spans="3:67" s="1" customFormat="1" hidden="1">
      <c r="C506" s="14"/>
      <c r="F506" s="17"/>
      <c r="G506" s="18"/>
      <c r="T506" s="9"/>
      <c r="U506" s="9"/>
      <c r="V506" s="9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</row>
    <row r="507" spans="3:67" s="1" customFormat="1" hidden="1">
      <c r="C507" s="14"/>
      <c r="F507" s="17"/>
      <c r="G507" s="18"/>
      <c r="T507" s="9"/>
      <c r="U507" s="9"/>
      <c r="V507" s="9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</row>
    <row r="508" spans="3:67" s="1" customFormat="1" hidden="1">
      <c r="C508" s="14"/>
      <c r="F508" s="17"/>
      <c r="G508" s="18"/>
      <c r="T508" s="9"/>
      <c r="U508" s="9"/>
      <c r="V508" s="9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</row>
    <row r="509" spans="3:67" s="1" customFormat="1" hidden="1">
      <c r="C509" s="14"/>
      <c r="F509" s="17"/>
      <c r="G509" s="18"/>
      <c r="T509" s="9"/>
      <c r="U509" s="9"/>
      <c r="V509" s="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</row>
    <row r="510" spans="3:67" s="1" customFormat="1" hidden="1">
      <c r="C510" s="14"/>
      <c r="F510" s="17"/>
      <c r="G510" s="18"/>
      <c r="T510" s="9"/>
      <c r="U510" s="9"/>
      <c r="V510" s="9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</row>
    <row r="511" spans="3:67" s="1" customFormat="1" hidden="1">
      <c r="C511" s="14"/>
      <c r="F511" s="17"/>
      <c r="G511" s="18"/>
      <c r="T511" s="9"/>
      <c r="U511" s="9"/>
      <c r="V511" s="9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</row>
    <row r="512" spans="3:67" s="1" customFormat="1" hidden="1">
      <c r="C512" s="14"/>
      <c r="F512" s="17"/>
      <c r="G512" s="18"/>
      <c r="T512" s="9"/>
      <c r="U512" s="9"/>
      <c r="V512" s="9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</row>
    <row r="513" spans="3:67" s="1" customFormat="1" hidden="1">
      <c r="C513" s="14"/>
      <c r="F513" s="17"/>
      <c r="G513" s="18"/>
      <c r="T513" s="9"/>
      <c r="U513" s="9"/>
      <c r="V513" s="9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</row>
    <row r="514" spans="3:67" s="1" customFormat="1" hidden="1">
      <c r="C514" s="14"/>
      <c r="F514" s="17"/>
      <c r="G514" s="18"/>
      <c r="T514" s="9"/>
      <c r="U514" s="9"/>
      <c r="V514" s="9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</row>
    <row r="515" spans="3:67" s="1" customFormat="1" hidden="1">
      <c r="C515" s="14"/>
      <c r="F515" s="17"/>
      <c r="G515" s="18"/>
      <c r="T515" s="9"/>
      <c r="U515" s="9"/>
      <c r="V515" s="9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</row>
    <row r="516" spans="3:67" s="1" customFormat="1" hidden="1">
      <c r="C516" s="14"/>
      <c r="F516" s="17"/>
      <c r="G516" s="18"/>
      <c r="T516" s="9"/>
      <c r="U516" s="9"/>
      <c r="V516" s="9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</row>
    <row r="517" spans="3:67" s="1" customFormat="1" hidden="1">
      <c r="C517" s="14"/>
      <c r="F517" s="17"/>
      <c r="G517" s="18"/>
      <c r="T517" s="9"/>
      <c r="U517" s="9"/>
      <c r="V517" s="9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</row>
    <row r="518" spans="3:67" s="1" customFormat="1" hidden="1">
      <c r="C518" s="14"/>
      <c r="F518" s="17"/>
      <c r="G518" s="18"/>
      <c r="T518" s="9"/>
      <c r="U518" s="9"/>
      <c r="V518" s="9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</row>
    <row r="519" spans="3:67" s="1" customFormat="1" hidden="1">
      <c r="C519" s="14"/>
      <c r="F519" s="17"/>
      <c r="G519" s="18"/>
      <c r="T519" s="9"/>
      <c r="U519" s="9"/>
      <c r="V519" s="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</row>
    <row r="520" spans="3:67" s="1" customFormat="1" hidden="1">
      <c r="C520" s="14"/>
      <c r="F520" s="17"/>
      <c r="G520" s="18"/>
      <c r="T520" s="9"/>
      <c r="U520" s="9"/>
      <c r="V520" s="9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</row>
    <row r="521" spans="3:67" s="1" customFormat="1" hidden="1">
      <c r="C521" s="14"/>
      <c r="F521" s="17"/>
      <c r="G521" s="18"/>
      <c r="T521" s="9"/>
      <c r="U521" s="9"/>
      <c r="V521" s="9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</row>
    <row r="522" spans="3:67" s="1" customFormat="1" hidden="1">
      <c r="C522" s="14"/>
      <c r="F522" s="17"/>
      <c r="G522" s="18"/>
      <c r="T522" s="9"/>
      <c r="U522" s="9"/>
      <c r="V522" s="9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</row>
    <row r="523" spans="3:67" s="1" customFormat="1" hidden="1">
      <c r="C523" s="14"/>
      <c r="F523" s="17"/>
      <c r="G523" s="18"/>
      <c r="T523" s="9"/>
      <c r="U523" s="9"/>
      <c r="V523" s="9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</row>
    <row r="524" spans="3:67" s="1" customFormat="1" hidden="1">
      <c r="C524" s="14"/>
      <c r="F524" s="17"/>
      <c r="G524" s="18"/>
      <c r="T524" s="9"/>
      <c r="U524" s="9"/>
      <c r="V524" s="9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</row>
    <row r="525" spans="3:67" s="1" customFormat="1" hidden="1">
      <c r="C525" s="14"/>
      <c r="F525" s="17"/>
      <c r="G525" s="18"/>
      <c r="T525" s="9"/>
      <c r="U525" s="9"/>
      <c r="V525" s="9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</row>
    <row r="526" spans="3:67" s="1" customFormat="1" hidden="1">
      <c r="C526" s="14"/>
      <c r="F526" s="17"/>
      <c r="G526" s="18"/>
      <c r="T526" s="9"/>
      <c r="U526" s="9"/>
      <c r="V526" s="9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</row>
    <row r="527" spans="3:67" s="1" customFormat="1" hidden="1">
      <c r="C527" s="14"/>
      <c r="F527" s="17"/>
      <c r="G527" s="18"/>
      <c r="T527" s="9"/>
      <c r="U527" s="9"/>
      <c r="V527" s="9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</row>
    <row r="528" spans="3:67" s="1" customFormat="1" hidden="1">
      <c r="C528" s="14"/>
      <c r="F528" s="17"/>
      <c r="G528" s="18"/>
      <c r="T528" s="9"/>
      <c r="U528" s="9"/>
      <c r="V528" s="9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</row>
    <row r="529" spans="3:67" s="1" customFormat="1" hidden="1">
      <c r="C529" s="14"/>
      <c r="F529" s="17"/>
      <c r="G529" s="18"/>
      <c r="T529" s="9"/>
      <c r="U529" s="9"/>
      <c r="V529" s="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</row>
    <row r="530" spans="3:67" s="1" customFormat="1" hidden="1">
      <c r="C530" s="14"/>
      <c r="F530" s="17"/>
      <c r="G530" s="18"/>
      <c r="T530" s="9"/>
      <c r="U530" s="9"/>
      <c r="V530" s="9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</row>
    <row r="531" spans="3:67" s="1" customFormat="1" hidden="1">
      <c r="C531" s="14"/>
      <c r="F531" s="17"/>
      <c r="G531" s="18"/>
      <c r="T531" s="9"/>
      <c r="U531" s="9"/>
      <c r="V531" s="9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</row>
    <row r="532" spans="3:67" s="1" customFormat="1" hidden="1">
      <c r="C532" s="14"/>
      <c r="F532" s="17"/>
      <c r="G532" s="18"/>
      <c r="T532" s="9"/>
      <c r="U532" s="9"/>
      <c r="V532" s="9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</row>
    <row r="533" spans="3:67" s="1" customFormat="1" hidden="1">
      <c r="C533" s="14"/>
      <c r="F533" s="17"/>
      <c r="G533" s="18"/>
      <c r="T533" s="9"/>
      <c r="U533" s="9"/>
      <c r="V533" s="9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</row>
    <row r="534" spans="3:67" s="1" customFormat="1" hidden="1">
      <c r="C534" s="14"/>
      <c r="F534" s="17"/>
      <c r="G534" s="18"/>
      <c r="T534" s="9"/>
      <c r="U534" s="9"/>
      <c r="V534" s="9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</row>
    <row r="535" spans="3:67" s="1" customFormat="1" hidden="1">
      <c r="C535" s="14"/>
      <c r="F535" s="17"/>
      <c r="G535" s="18"/>
      <c r="T535" s="9"/>
      <c r="U535" s="9"/>
      <c r="V535" s="9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</row>
    <row r="536" spans="3:67" s="1" customFormat="1" hidden="1">
      <c r="C536" s="14"/>
      <c r="F536" s="17"/>
      <c r="G536" s="18"/>
      <c r="T536" s="9"/>
      <c r="U536" s="9"/>
      <c r="V536" s="9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</row>
    <row r="537" spans="3:67" s="1" customFormat="1" hidden="1">
      <c r="C537" s="14"/>
      <c r="F537" s="17"/>
      <c r="G537" s="18"/>
      <c r="T537" s="9"/>
      <c r="U537" s="9"/>
      <c r="V537" s="9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</row>
    <row r="538" spans="3:67" s="1" customFormat="1" hidden="1">
      <c r="C538" s="14"/>
      <c r="F538" s="17"/>
      <c r="G538" s="18"/>
      <c r="T538" s="9"/>
      <c r="U538" s="9"/>
      <c r="V538" s="9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</row>
    <row r="539" spans="3:67" s="1" customFormat="1" hidden="1">
      <c r="C539" s="14"/>
      <c r="F539" s="17"/>
      <c r="G539" s="18"/>
      <c r="T539" s="9"/>
      <c r="U539" s="9"/>
      <c r="V539" s="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</row>
    <row r="540" spans="3:67" s="1" customFormat="1" hidden="1">
      <c r="C540" s="14"/>
      <c r="F540" s="17"/>
      <c r="G540" s="18"/>
      <c r="T540" s="9"/>
      <c r="U540" s="9"/>
      <c r="V540" s="9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</row>
    <row r="541" spans="3:67" s="1" customFormat="1" hidden="1">
      <c r="C541" s="14"/>
      <c r="F541" s="17"/>
      <c r="G541" s="18"/>
      <c r="T541" s="9"/>
      <c r="U541" s="9"/>
      <c r="V541" s="9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</row>
    <row r="542" spans="3:67" s="1" customFormat="1" hidden="1">
      <c r="C542" s="14"/>
      <c r="F542" s="17"/>
      <c r="G542" s="18"/>
      <c r="T542" s="9"/>
      <c r="U542" s="9"/>
      <c r="V542" s="9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</row>
    <row r="543" spans="3:67" s="1" customFormat="1" hidden="1">
      <c r="C543" s="14"/>
      <c r="F543" s="17"/>
      <c r="G543" s="18"/>
      <c r="T543" s="9"/>
      <c r="U543" s="9"/>
      <c r="V543" s="9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</row>
    <row r="544" spans="3:67" s="1" customFormat="1" hidden="1">
      <c r="C544" s="14"/>
      <c r="F544" s="17"/>
      <c r="G544" s="18"/>
      <c r="T544" s="9"/>
      <c r="U544" s="9"/>
      <c r="V544" s="9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</row>
    <row r="545" spans="3:67" s="1" customFormat="1" hidden="1">
      <c r="C545" s="14"/>
      <c r="F545" s="17"/>
      <c r="G545" s="18"/>
      <c r="T545" s="9"/>
      <c r="U545" s="9"/>
      <c r="V545" s="9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</row>
    <row r="546" spans="3:67" s="1" customFormat="1" hidden="1">
      <c r="C546" s="14"/>
      <c r="F546" s="17"/>
      <c r="G546" s="18"/>
      <c r="T546" s="9"/>
      <c r="U546" s="9"/>
      <c r="V546" s="9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</row>
    <row r="547" spans="3:67" s="1" customFormat="1" hidden="1">
      <c r="C547" s="14"/>
      <c r="F547" s="17"/>
      <c r="G547" s="18"/>
      <c r="T547" s="9"/>
      <c r="U547" s="9"/>
      <c r="V547" s="9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</row>
    <row r="548" spans="3:67" s="1" customFormat="1" hidden="1">
      <c r="C548" s="14"/>
      <c r="F548" s="17"/>
      <c r="G548" s="18"/>
      <c r="T548" s="9"/>
      <c r="U548" s="9"/>
      <c r="V548" s="9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</row>
    <row r="549" spans="3:67" s="1" customFormat="1" hidden="1">
      <c r="C549" s="14"/>
      <c r="F549" s="17"/>
      <c r="G549" s="18"/>
      <c r="T549" s="9"/>
      <c r="U549" s="9"/>
      <c r="V549" s="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</row>
    <row r="550" spans="3:67" s="1" customFormat="1" hidden="1">
      <c r="C550" s="14"/>
      <c r="F550" s="17"/>
      <c r="G550" s="18"/>
      <c r="T550" s="9"/>
      <c r="U550" s="9"/>
      <c r="V550" s="9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</row>
    <row r="551" spans="3:67" s="1" customFormat="1" hidden="1">
      <c r="C551" s="14"/>
      <c r="F551" s="17"/>
      <c r="G551" s="18"/>
      <c r="T551" s="9"/>
      <c r="U551" s="9"/>
      <c r="V551" s="9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</row>
    <row r="552" spans="3:67" s="1" customFormat="1" hidden="1">
      <c r="C552" s="14"/>
      <c r="F552" s="17"/>
      <c r="G552" s="18"/>
      <c r="T552" s="9"/>
      <c r="U552" s="9"/>
      <c r="V552" s="9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</row>
    <row r="553" spans="3:67" s="1" customFormat="1" hidden="1">
      <c r="C553" s="14"/>
      <c r="F553" s="17"/>
      <c r="G553" s="18"/>
      <c r="T553" s="9"/>
      <c r="U553" s="9"/>
      <c r="V553" s="9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</row>
    <row r="554" spans="3:67" s="1" customFormat="1" hidden="1">
      <c r="C554" s="14"/>
      <c r="F554" s="17"/>
      <c r="G554" s="18"/>
      <c r="T554" s="9"/>
      <c r="U554" s="9"/>
      <c r="V554" s="9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</row>
    <row r="555" spans="3:67" s="1" customFormat="1" hidden="1">
      <c r="C555" s="14"/>
      <c r="F555" s="17"/>
      <c r="G555" s="18"/>
      <c r="T555" s="9"/>
      <c r="U555" s="9"/>
      <c r="V555" s="9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</row>
    <row r="556" spans="3:67" s="1" customFormat="1" hidden="1">
      <c r="C556" s="14"/>
      <c r="F556" s="17"/>
      <c r="G556" s="18"/>
      <c r="T556" s="9"/>
      <c r="U556" s="9"/>
      <c r="V556" s="9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</row>
    <row r="557" spans="3:67" s="1" customFormat="1" hidden="1">
      <c r="C557" s="14"/>
      <c r="F557" s="17"/>
      <c r="G557" s="18"/>
      <c r="T557" s="9"/>
      <c r="U557" s="9"/>
      <c r="V557" s="9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</row>
    <row r="558" spans="3:67" s="1" customFormat="1" hidden="1">
      <c r="C558" s="14"/>
      <c r="F558" s="17"/>
      <c r="G558" s="18"/>
      <c r="T558" s="9"/>
      <c r="U558" s="9"/>
      <c r="V558" s="9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</row>
    <row r="559" spans="3:67" s="1" customFormat="1" hidden="1">
      <c r="C559" s="14"/>
      <c r="F559" s="17"/>
      <c r="G559" s="18"/>
      <c r="T559" s="9"/>
      <c r="U559" s="9"/>
      <c r="V559" s="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</row>
    <row r="560" spans="3:67" s="1" customFormat="1" hidden="1">
      <c r="C560" s="14"/>
      <c r="F560" s="17"/>
      <c r="G560" s="18"/>
      <c r="T560" s="9"/>
      <c r="U560" s="9"/>
      <c r="V560" s="9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</row>
    <row r="561" spans="3:67" s="1" customFormat="1" hidden="1">
      <c r="C561" s="14"/>
      <c r="F561" s="17"/>
      <c r="G561" s="18"/>
      <c r="T561" s="9"/>
      <c r="U561" s="9"/>
      <c r="V561" s="9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</row>
    <row r="562" spans="3:67" s="1" customFormat="1" hidden="1">
      <c r="C562" s="14"/>
      <c r="F562" s="17"/>
      <c r="G562" s="18"/>
      <c r="T562" s="9"/>
      <c r="U562" s="9"/>
      <c r="V562" s="9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</row>
    <row r="563" spans="3:67" s="1" customFormat="1" hidden="1">
      <c r="C563" s="14"/>
      <c r="F563" s="17"/>
      <c r="G563" s="18"/>
      <c r="T563" s="9"/>
      <c r="U563" s="9"/>
      <c r="V563" s="9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</row>
    <row r="564" spans="3:67" s="1" customFormat="1" hidden="1">
      <c r="C564" s="14"/>
      <c r="F564" s="17"/>
      <c r="G564" s="18"/>
      <c r="T564" s="9"/>
      <c r="U564" s="9"/>
      <c r="V564" s="9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</row>
    <row r="565" spans="3:67" s="1" customFormat="1" hidden="1">
      <c r="C565" s="14"/>
      <c r="F565" s="17"/>
      <c r="G565" s="18"/>
      <c r="T565" s="9"/>
      <c r="U565" s="9"/>
      <c r="V565" s="9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</row>
    <row r="566" spans="3:67" s="1" customFormat="1" hidden="1">
      <c r="C566" s="14"/>
      <c r="F566" s="17"/>
      <c r="G566" s="18"/>
      <c r="T566" s="9"/>
      <c r="U566" s="9"/>
      <c r="V566" s="9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</row>
    <row r="567" spans="3:67" s="1" customFormat="1" hidden="1">
      <c r="C567" s="14"/>
      <c r="F567" s="17"/>
      <c r="G567" s="18"/>
      <c r="T567" s="9"/>
      <c r="U567" s="9"/>
      <c r="V567" s="9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</row>
    <row r="568" spans="3:67" s="1" customFormat="1" hidden="1">
      <c r="C568" s="14"/>
      <c r="F568" s="17"/>
      <c r="G568" s="18"/>
      <c r="T568" s="9"/>
      <c r="U568" s="9"/>
      <c r="V568" s="9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</row>
    <row r="569" spans="3:67" s="1" customFormat="1" hidden="1">
      <c r="C569" s="14"/>
      <c r="F569" s="17"/>
      <c r="G569" s="18"/>
      <c r="T569" s="9"/>
      <c r="U569" s="9"/>
      <c r="V569" s="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</row>
    <row r="570" spans="3:67" s="1" customFormat="1" hidden="1">
      <c r="C570" s="14"/>
      <c r="F570" s="17"/>
      <c r="G570" s="18"/>
      <c r="T570" s="9"/>
      <c r="U570" s="9"/>
      <c r="V570" s="9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</row>
    <row r="571" spans="3:67" s="1" customFormat="1" hidden="1">
      <c r="C571" s="14"/>
      <c r="F571" s="17"/>
      <c r="G571" s="18"/>
      <c r="T571" s="9"/>
      <c r="U571" s="9"/>
      <c r="V571" s="9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</row>
    <row r="572" spans="3:67" s="1" customFormat="1" hidden="1">
      <c r="C572" s="14"/>
      <c r="F572" s="17"/>
      <c r="G572" s="18"/>
      <c r="T572" s="9"/>
      <c r="U572" s="9"/>
      <c r="V572" s="9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</row>
    <row r="573" spans="3:67" s="1" customFormat="1" hidden="1">
      <c r="C573" s="14"/>
      <c r="F573" s="17"/>
      <c r="G573" s="18"/>
      <c r="T573" s="9"/>
      <c r="U573" s="9"/>
      <c r="V573" s="9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</row>
    <row r="574" spans="3:67" s="1" customFormat="1" hidden="1">
      <c r="C574" s="14"/>
      <c r="F574" s="17"/>
      <c r="G574" s="18"/>
      <c r="T574" s="9"/>
      <c r="U574" s="9"/>
      <c r="V574" s="9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</row>
    <row r="575" spans="3:67" s="1" customFormat="1" hidden="1">
      <c r="C575" s="14"/>
      <c r="F575" s="17"/>
      <c r="G575" s="18"/>
      <c r="T575" s="9"/>
      <c r="U575" s="9"/>
      <c r="V575" s="9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</row>
    <row r="576" spans="3:67" s="1" customFormat="1" hidden="1">
      <c r="C576" s="14"/>
      <c r="F576" s="17"/>
      <c r="G576" s="18"/>
      <c r="T576" s="9"/>
      <c r="U576" s="9"/>
      <c r="V576" s="9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</row>
    <row r="577" spans="3:67" s="1" customFormat="1" hidden="1">
      <c r="C577" s="14"/>
      <c r="F577" s="17"/>
      <c r="G577" s="18"/>
      <c r="T577" s="9"/>
      <c r="U577" s="9"/>
      <c r="V577" s="9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</row>
    <row r="578" spans="3:67" s="1" customFormat="1" hidden="1">
      <c r="C578" s="14"/>
      <c r="F578" s="17"/>
      <c r="G578" s="18"/>
      <c r="T578" s="9"/>
      <c r="U578" s="9"/>
      <c r="V578" s="9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</row>
    <row r="579" spans="3:67" s="1" customFormat="1" hidden="1">
      <c r="C579" s="14"/>
      <c r="F579" s="17"/>
      <c r="G579" s="18"/>
      <c r="T579" s="9"/>
      <c r="U579" s="9"/>
      <c r="V579" s="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</row>
    <row r="580" spans="3:67" s="1" customFormat="1" hidden="1">
      <c r="C580" s="14"/>
      <c r="F580" s="17"/>
      <c r="G580" s="18"/>
      <c r="T580" s="9"/>
      <c r="U580" s="9"/>
      <c r="V580" s="9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</row>
    <row r="581" spans="3:67" s="1" customFormat="1" hidden="1">
      <c r="C581" s="14"/>
      <c r="F581" s="17"/>
      <c r="G581" s="18"/>
      <c r="T581" s="9"/>
      <c r="U581" s="9"/>
      <c r="V581" s="9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</row>
    <row r="582" spans="3:67" s="1" customFormat="1" hidden="1">
      <c r="C582" s="14"/>
      <c r="F582" s="17"/>
      <c r="G582" s="18"/>
      <c r="T582" s="9"/>
      <c r="U582" s="9"/>
      <c r="V582" s="9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</row>
    <row r="583" spans="3:67" s="1" customFormat="1" hidden="1">
      <c r="C583" s="14"/>
      <c r="F583" s="17"/>
      <c r="G583" s="18"/>
      <c r="T583" s="9"/>
      <c r="U583" s="9"/>
      <c r="V583" s="9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</row>
    <row r="584" spans="3:67" s="1" customFormat="1" hidden="1">
      <c r="C584" s="14"/>
      <c r="F584" s="17"/>
      <c r="G584" s="18"/>
      <c r="T584" s="9"/>
      <c r="U584" s="9"/>
      <c r="V584" s="9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</row>
    <row r="585" spans="3:67" s="1" customFormat="1" hidden="1">
      <c r="C585" s="14"/>
      <c r="F585" s="17"/>
      <c r="G585" s="18"/>
      <c r="T585" s="9"/>
      <c r="U585" s="9"/>
      <c r="V585" s="9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</row>
    <row r="586" spans="3:67" s="1" customFormat="1" hidden="1">
      <c r="C586" s="14"/>
      <c r="F586" s="17"/>
      <c r="G586" s="18"/>
      <c r="T586" s="9"/>
      <c r="U586" s="9"/>
      <c r="V586" s="9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</row>
    <row r="587" spans="3:67" s="1" customFormat="1" hidden="1">
      <c r="C587" s="14"/>
      <c r="F587" s="17"/>
      <c r="G587" s="18"/>
      <c r="T587" s="9"/>
      <c r="U587" s="9"/>
      <c r="V587" s="9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</row>
    <row r="588" spans="3:67" s="1" customFormat="1" hidden="1">
      <c r="C588" s="14"/>
      <c r="F588" s="17"/>
      <c r="G588" s="18"/>
      <c r="T588" s="9"/>
      <c r="U588" s="9"/>
      <c r="V588" s="9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</row>
    <row r="589" spans="3:67" s="1" customFormat="1" hidden="1">
      <c r="C589" s="14"/>
      <c r="F589" s="17"/>
      <c r="G589" s="18"/>
      <c r="T589" s="9"/>
      <c r="U589" s="9"/>
      <c r="V589" s="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</row>
    <row r="590" spans="3:67" s="1" customFormat="1" hidden="1">
      <c r="C590" s="14"/>
      <c r="F590" s="17"/>
      <c r="G590" s="18"/>
      <c r="T590" s="9"/>
      <c r="U590" s="9"/>
      <c r="V590" s="9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</row>
    <row r="591" spans="3:67" s="1" customFormat="1" hidden="1">
      <c r="C591" s="14"/>
      <c r="F591" s="17"/>
      <c r="G591" s="18"/>
      <c r="T591" s="9"/>
      <c r="U591" s="9"/>
      <c r="V591" s="9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</row>
    <row r="592" spans="3:67" s="1" customFormat="1" hidden="1">
      <c r="C592" s="14"/>
      <c r="F592" s="17"/>
      <c r="G592" s="18"/>
      <c r="T592" s="9"/>
      <c r="U592" s="9"/>
      <c r="V592" s="9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</row>
    <row r="593" spans="3:67" s="1" customFormat="1" hidden="1">
      <c r="C593" s="14"/>
      <c r="F593" s="17"/>
      <c r="G593" s="18"/>
      <c r="T593" s="9"/>
      <c r="U593" s="9"/>
      <c r="V593" s="9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</row>
    <row r="594" spans="3:67" s="1" customFormat="1" hidden="1">
      <c r="C594" s="14"/>
      <c r="F594" s="17"/>
      <c r="G594" s="18"/>
      <c r="T594" s="9"/>
      <c r="U594" s="9"/>
      <c r="V594" s="9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</row>
    <row r="595" spans="3:67" s="1" customFormat="1" hidden="1">
      <c r="C595" s="14"/>
      <c r="F595" s="17"/>
      <c r="G595" s="18"/>
      <c r="T595" s="9"/>
      <c r="U595" s="9"/>
      <c r="V595" s="9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</row>
    <row r="596" spans="3:67" s="1" customFormat="1" hidden="1">
      <c r="C596" s="14"/>
      <c r="F596" s="17"/>
      <c r="G596" s="18"/>
      <c r="T596" s="9"/>
      <c r="U596" s="9"/>
      <c r="V596" s="9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</row>
    <row r="597" spans="3:67" s="1" customFormat="1" hidden="1">
      <c r="C597" s="14"/>
      <c r="F597" s="17"/>
      <c r="G597" s="18"/>
      <c r="T597" s="9"/>
      <c r="U597" s="9"/>
      <c r="V597" s="9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</row>
    <row r="598" spans="3:67" s="1" customFormat="1" hidden="1">
      <c r="C598" s="14"/>
      <c r="F598" s="17"/>
      <c r="G598" s="18"/>
      <c r="T598" s="9"/>
      <c r="U598" s="9"/>
      <c r="V598" s="9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</row>
    <row r="599" spans="3:67" s="1" customFormat="1" hidden="1">
      <c r="C599" s="14"/>
      <c r="F599" s="17"/>
      <c r="G599" s="18"/>
      <c r="T599" s="9"/>
      <c r="U599" s="9"/>
      <c r="V599" s="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</row>
    <row r="600" spans="3:67" s="1" customFormat="1" hidden="1">
      <c r="C600" s="14"/>
      <c r="F600" s="17"/>
      <c r="G600" s="18"/>
      <c r="T600" s="9"/>
      <c r="U600" s="9"/>
      <c r="V600" s="9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</row>
    <row r="601" spans="3:67" s="1" customFormat="1" hidden="1">
      <c r="C601" s="14"/>
      <c r="F601" s="17"/>
      <c r="G601" s="18"/>
      <c r="T601" s="9"/>
      <c r="U601" s="9"/>
      <c r="V601" s="9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</row>
    <row r="602" spans="3:67" s="1" customFormat="1" hidden="1">
      <c r="C602" s="14"/>
      <c r="F602" s="17"/>
      <c r="G602" s="18"/>
      <c r="T602" s="9"/>
      <c r="U602" s="9"/>
      <c r="V602" s="9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</row>
    <row r="603" spans="3:67" s="1" customFormat="1" hidden="1">
      <c r="C603" s="14"/>
      <c r="F603" s="17"/>
      <c r="G603" s="18"/>
      <c r="T603" s="9"/>
      <c r="U603" s="9"/>
      <c r="V603" s="9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</row>
    <row r="604" spans="3:67" s="1" customFormat="1" hidden="1">
      <c r="C604" s="14"/>
      <c r="F604" s="17"/>
      <c r="G604" s="18"/>
      <c r="T604" s="9"/>
      <c r="U604" s="9"/>
      <c r="V604" s="9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</row>
    <row r="605" spans="3:67" s="1" customFormat="1" hidden="1">
      <c r="C605" s="14"/>
      <c r="F605" s="17"/>
      <c r="G605" s="18"/>
      <c r="T605" s="9"/>
      <c r="U605" s="9"/>
      <c r="V605" s="9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</row>
    <row r="606" spans="3:67" s="1" customFormat="1" hidden="1">
      <c r="C606" s="14"/>
      <c r="F606" s="17"/>
      <c r="G606" s="18"/>
      <c r="T606" s="9"/>
      <c r="U606" s="9"/>
      <c r="V606" s="9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</row>
    <row r="607" spans="3:67" s="1" customFormat="1" hidden="1">
      <c r="C607" s="14"/>
      <c r="F607" s="17"/>
      <c r="G607" s="18"/>
      <c r="T607" s="9"/>
      <c r="U607" s="9"/>
      <c r="V607" s="9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</row>
    <row r="608" spans="3:67" s="1" customFormat="1" hidden="1">
      <c r="C608" s="14"/>
      <c r="F608" s="17"/>
      <c r="G608" s="18"/>
      <c r="T608" s="9"/>
      <c r="U608" s="9"/>
      <c r="V608" s="9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</row>
    <row r="609" spans="3:67" s="1" customFormat="1" hidden="1">
      <c r="C609" s="14"/>
      <c r="F609" s="17"/>
      <c r="G609" s="18"/>
      <c r="T609" s="9"/>
      <c r="U609" s="9"/>
      <c r="V609" s="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</row>
    <row r="610" spans="3:67" s="1" customFormat="1" hidden="1">
      <c r="C610" s="14"/>
      <c r="F610" s="17"/>
      <c r="G610" s="18"/>
      <c r="T610" s="9"/>
      <c r="U610" s="9"/>
      <c r="V610" s="9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</row>
    <row r="611" spans="3:67" s="1" customFormat="1" hidden="1">
      <c r="C611" s="14"/>
      <c r="F611" s="17"/>
      <c r="G611" s="18"/>
      <c r="T611" s="9"/>
      <c r="U611" s="9"/>
      <c r="V611" s="9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</row>
    <row r="612" spans="3:67" s="1" customFormat="1" hidden="1">
      <c r="C612" s="14"/>
      <c r="F612" s="17"/>
      <c r="G612" s="18"/>
      <c r="T612" s="9"/>
      <c r="U612" s="9"/>
      <c r="V612" s="9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</row>
    <row r="613" spans="3:67" s="1" customFormat="1" hidden="1">
      <c r="C613" s="14"/>
      <c r="F613" s="17"/>
      <c r="G613" s="18"/>
      <c r="T613" s="9"/>
      <c r="U613" s="9"/>
      <c r="V613" s="9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</row>
    <row r="614" spans="3:67" s="1" customFormat="1" hidden="1">
      <c r="C614" s="14"/>
      <c r="F614" s="17"/>
      <c r="G614" s="18"/>
      <c r="T614" s="9"/>
      <c r="U614" s="9"/>
      <c r="V614" s="9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</row>
    <row r="615" spans="3:67" s="1" customFormat="1" hidden="1">
      <c r="C615" s="14"/>
      <c r="F615" s="17"/>
      <c r="G615" s="18"/>
      <c r="T615" s="9"/>
      <c r="U615" s="9"/>
      <c r="V615" s="9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</row>
    <row r="616" spans="3:67" s="1" customFormat="1" hidden="1">
      <c r="C616" s="14"/>
      <c r="F616" s="17"/>
      <c r="G616" s="18"/>
      <c r="T616" s="9"/>
      <c r="U616" s="9"/>
      <c r="V616" s="9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</row>
    <row r="617" spans="3:67" s="1" customFormat="1" hidden="1">
      <c r="C617" s="14"/>
      <c r="F617" s="17"/>
      <c r="G617" s="18"/>
      <c r="T617" s="9"/>
      <c r="U617" s="9"/>
      <c r="V617" s="9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</row>
    <row r="618" spans="3:67" s="1" customFormat="1" hidden="1">
      <c r="C618" s="14"/>
      <c r="F618" s="17"/>
      <c r="G618" s="18"/>
      <c r="T618" s="9"/>
      <c r="U618" s="9"/>
      <c r="V618" s="9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</row>
    <row r="619" spans="3:67" s="1" customFormat="1" hidden="1">
      <c r="C619" s="14"/>
      <c r="F619" s="17"/>
      <c r="G619" s="18"/>
      <c r="T619" s="9"/>
      <c r="U619" s="9"/>
      <c r="V619" s="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</row>
    <row r="620" spans="3:67" s="1" customFormat="1" hidden="1">
      <c r="C620" s="14"/>
      <c r="F620" s="17"/>
      <c r="G620" s="18"/>
      <c r="T620" s="9"/>
      <c r="U620" s="9"/>
      <c r="V620" s="9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</row>
    <row r="621" spans="3:67" s="1" customFormat="1" hidden="1">
      <c r="C621" s="14"/>
      <c r="F621" s="17"/>
      <c r="G621" s="18"/>
      <c r="T621" s="9"/>
      <c r="U621" s="9"/>
      <c r="V621" s="9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</row>
    <row r="622" spans="3:67" s="1" customFormat="1" hidden="1">
      <c r="C622" s="14"/>
      <c r="F622" s="17"/>
      <c r="G622" s="18"/>
      <c r="T622" s="9"/>
      <c r="U622" s="9"/>
      <c r="V622" s="9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</row>
    <row r="623" spans="3:67" s="1" customFormat="1" hidden="1">
      <c r="C623" s="14"/>
      <c r="F623" s="17"/>
      <c r="G623" s="18"/>
      <c r="T623" s="9"/>
      <c r="U623" s="9"/>
      <c r="V623" s="9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</row>
    <row r="624" spans="3:67" s="1" customFormat="1" hidden="1">
      <c r="C624" s="14"/>
      <c r="F624" s="17"/>
      <c r="G624" s="18"/>
      <c r="T624" s="9"/>
      <c r="U624" s="9"/>
      <c r="V624" s="9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</row>
    <row r="625" spans="3:67" s="1" customFormat="1" hidden="1">
      <c r="C625" s="14"/>
      <c r="F625" s="17"/>
      <c r="G625" s="18"/>
      <c r="T625" s="9"/>
      <c r="U625" s="9"/>
      <c r="V625" s="9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</row>
    <row r="626" spans="3:67" s="1" customFormat="1" hidden="1">
      <c r="C626" s="14"/>
      <c r="F626" s="17"/>
      <c r="G626" s="18"/>
      <c r="T626" s="9"/>
      <c r="U626" s="9"/>
      <c r="V626" s="9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</row>
    <row r="627" spans="3:67" s="1" customFormat="1" hidden="1">
      <c r="C627" s="14"/>
      <c r="F627" s="17"/>
      <c r="G627" s="18"/>
      <c r="T627" s="9"/>
      <c r="U627" s="9"/>
      <c r="V627" s="9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</row>
    <row r="628" spans="3:67" s="1" customFormat="1" hidden="1">
      <c r="C628" s="14"/>
      <c r="F628" s="17"/>
      <c r="G628" s="18"/>
      <c r="T628" s="9"/>
      <c r="U628" s="9"/>
      <c r="V628" s="9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</row>
    <row r="629" spans="3:67" s="1" customFormat="1" hidden="1">
      <c r="C629" s="14"/>
      <c r="F629" s="17"/>
      <c r="G629" s="18"/>
      <c r="T629" s="9"/>
      <c r="U629" s="9"/>
      <c r="V629" s="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</row>
    <row r="630" spans="3:67" s="1" customFormat="1" hidden="1">
      <c r="C630" s="14"/>
      <c r="F630" s="17"/>
      <c r="G630" s="18"/>
      <c r="T630" s="9"/>
      <c r="U630" s="9"/>
      <c r="V630" s="9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</row>
    <row r="631" spans="3:67" s="1" customFormat="1" hidden="1">
      <c r="C631" s="14"/>
      <c r="F631" s="17"/>
      <c r="G631" s="18"/>
      <c r="T631" s="9"/>
      <c r="U631" s="9"/>
      <c r="V631" s="9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</row>
    <row r="632" spans="3:67" s="1" customFormat="1" hidden="1">
      <c r="C632" s="14"/>
      <c r="F632" s="17"/>
      <c r="G632" s="18"/>
      <c r="T632" s="9"/>
      <c r="U632" s="9"/>
      <c r="V632" s="9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</row>
    <row r="633" spans="3:67" s="1" customFormat="1" hidden="1">
      <c r="C633" s="14"/>
      <c r="F633" s="17"/>
      <c r="G633" s="18"/>
      <c r="T633" s="9"/>
      <c r="U633" s="9"/>
      <c r="V633" s="9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</row>
    <row r="634" spans="3:67" s="1" customFormat="1" hidden="1">
      <c r="C634" s="14"/>
      <c r="F634" s="17"/>
      <c r="G634" s="18"/>
      <c r="T634" s="9"/>
      <c r="U634" s="9"/>
      <c r="V634" s="9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</row>
    <row r="635" spans="3:67" s="1" customFormat="1" hidden="1">
      <c r="C635" s="14"/>
      <c r="F635" s="17"/>
      <c r="G635" s="18"/>
      <c r="T635" s="9"/>
      <c r="U635" s="9"/>
      <c r="V635" s="9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</row>
    <row r="636" spans="3:67" s="1" customFormat="1" hidden="1">
      <c r="C636" s="14"/>
      <c r="F636" s="17"/>
      <c r="G636" s="18"/>
      <c r="T636" s="9"/>
      <c r="U636" s="9"/>
      <c r="V636" s="9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</row>
    <row r="637" spans="3:67" s="1" customFormat="1" hidden="1">
      <c r="C637" s="14"/>
      <c r="F637" s="17"/>
      <c r="G637" s="18"/>
      <c r="T637" s="9"/>
      <c r="U637" s="9"/>
      <c r="V637" s="9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</row>
    <row r="638" spans="3:67" s="1" customFormat="1" hidden="1">
      <c r="C638" s="14"/>
      <c r="F638" s="17"/>
      <c r="G638" s="18"/>
      <c r="T638" s="9"/>
      <c r="U638" s="9"/>
      <c r="V638" s="9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</row>
    <row r="639" spans="3:67" s="1" customFormat="1" hidden="1">
      <c r="C639" s="14"/>
      <c r="F639" s="17"/>
      <c r="G639" s="18"/>
      <c r="T639" s="9"/>
      <c r="U639" s="9"/>
      <c r="V639" s="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</row>
    <row r="640" spans="3:67" s="1" customFormat="1" hidden="1">
      <c r="C640" s="14"/>
      <c r="F640" s="17"/>
      <c r="G640" s="18"/>
      <c r="T640" s="9"/>
      <c r="U640" s="9"/>
      <c r="V640" s="9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</row>
    <row r="641" spans="3:67" s="1" customFormat="1" hidden="1">
      <c r="C641" s="14"/>
      <c r="F641" s="17"/>
      <c r="G641" s="18"/>
      <c r="T641" s="9"/>
      <c r="U641" s="9"/>
      <c r="V641" s="9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</row>
    <row r="642" spans="3:67" s="1" customFormat="1" hidden="1">
      <c r="C642" s="14"/>
      <c r="F642" s="17"/>
      <c r="G642" s="18"/>
      <c r="T642" s="9"/>
      <c r="U642" s="9"/>
      <c r="V642" s="9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</row>
    <row r="643" spans="3:67" s="1" customFormat="1" hidden="1">
      <c r="C643" s="14"/>
      <c r="F643" s="17"/>
      <c r="G643" s="18"/>
      <c r="T643" s="9"/>
      <c r="U643" s="9"/>
      <c r="V643" s="9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</row>
    <row r="644" spans="3:67" s="1" customFormat="1" hidden="1">
      <c r="C644" s="14"/>
      <c r="F644" s="17"/>
      <c r="G644" s="18"/>
      <c r="T644" s="9"/>
      <c r="U644" s="9"/>
      <c r="V644" s="9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</row>
    <row r="645" spans="3:67" s="1" customFormat="1" hidden="1">
      <c r="C645" s="14"/>
      <c r="F645" s="17"/>
      <c r="G645" s="18"/>
      <c r="T645" s="9"/>
      <c r="U645" s="9"/>
      <c r="V645" s="9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</row>
    <row r="646" spans="3:67" s="1" customFormat="1" hidden="1">
      <c r="C646" s="14"/>
      <c r="F646" s="17"/>
      <c r="G646" s="18"/>
      <c r="T646" s="9"/>
      <c r="U646" s="9"/>
      <c r="V646" s="9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</row>
    <row r="647" spans="3:67" s="1" customFormat="1" hidden="1">
      <c r="C647" s="14"/>
      <c r="F647" s="17"/>
      <c r="G647" s="18"/>
      <c r="T647" s="9"/>
      <c r="U647" s="9"/>
      <c r="V647" s="9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</row>
    <row r="648" spans="3:67" s="1" customFormat="1" hidden="1">
      <c r="C648" s="14"/>
      <c r="F648" s="17"/>
      <c r="G648" s="18"/>
      <c r="T648" s="9"/>
      <c r="U648" s="9"/>
      <c r="V648" s="9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</row>
    <row r="649" spans="3:67" s="1" customFormat="1" hidden="1">
      <c r="C649" s="14"/>
      <c r="F649" s="17"/>
      <c r="G649" s="18"/>
      <c r="T649" s="9"/>
      <c r="U649" s="9"/>
      <c r="V649" s="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</row>
    <row r="650" spans="3:67" s="1" customFormat="1" hidden="1">
      <c r="C650" s="14"/>
      <c r="F650" s="17"/>
      <c r="G650" s="18"/>
      <c r="T650" s="9"/>
      <c r="U650" s="9"/>
      <c r="V650" s="9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</row>
    <row r="651" spans="3:67" s="1" customFormat="1" hidden="1">
      <c r="C651" s="14"/>
      <c r="F651" s="17"/>
      <c r="G651" s="18"/>
      <c r="T651" s="9"/>
      <c r="U651" s="9"/>
      <c r="V651" s="9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</row>
    <row r="652" spans="3:67" s="1" customFormat="1" hidden="1">
      <c r="C652" s="14"/>
      <c r="F652" s="17"/>
      <c r="G652" s="18"/>
      <c r="T652" s="9"/>
      <c r="U652" s="9"/>
      <c r="V652" s="9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</row>
    <row r="653" spans="3:67" s="1" customFormat="1" hidden="1">
      <c r="C653" s="14"/>
      <c r="F653" s="17"/>
      <c r="G653" s="18"/>
      <c r="T653" s="9"/>
      <c r="U653" s="9"/>
      <c r="V653" s="9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</row>
    <row r="654" spans="3:67" s="1" customFormat="1" hidden="1">
      <c r="C654" s="14"/>
      <c r="F654" s="17"/>
      <c r="G654" s="18"/>
      <c r="T654" s="9"/>
      <c r="U654" s="9"/>
      <c r="V654" s="9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</row>
    <row r="655" spans="3:67" s="1" customFormat="1" hidden="1">
      <c r="C655" s="14"/>
      <c r="F655" s="17"/>
      <c r="G655" s="18"/>
      <c r="T655" s="9"/>
      <c r="U655" s="9"/>
      <c r="V655" s="9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</row>
    <row r="656" spans="3:67" s="1" customFormat="1" hidden="1">
      <c r="C656" s="14"/>
      <c r="F656" s="17"/>
      <c r="G656" s="18"/>
      <c r="T656" s="9"/>
      <c r="U656" s="9"/>
      <c r="V656" s="9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</row>
    <row r="657" spans="3:67" s="1" customFormat="1" hidden="1">
      <c r="C657" s="14"/>
      <c r="F657" s="17"/>
      <c r="G657" s="18"/>
      <c r="T657" s="9"/>
      <c r="U657" s="9"/>
      <c r="V657" s="9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</row>
    <row r="658" spans="3:67" s="1" customFormat="1" hidden="1">
      <c r="C658" s="14"/>
      <c r="F658" s="17"/>
      <c r="G658" s="18"/>
      <c r="T658" s="9"/>
      <c r="U658" s="9"/>
      <c r="V658" s="9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</row>
    <row r="659" spans="3:67" s="1" customFormat="1" hidden="1">
      <c r="C659" s="14"/>
      <c r="F659" s="17"/>
      <c r="G659" s="18"/>
      <c r="T659" s="9"/>
      <c r="U659" s="9"/>
      <c r="V659" s="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</row>
    <row r="660" spans="3:67" s="1" customFormat="1" hidden="1">
      <c r="C660" s="14"/>
      <c r="F660" s="17"/>
      <c r="G660" s="18"/>
      <c r="T660" s="9"/>
      <c r="U660" s="9"/>
      <c r="V660" s="9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</row>
    <row r="661" spans="3:67" s="1" customFormat="1" hidden="1">
      <c r="C661" s="14"/>
      <c r="F661" s="17"/>
      <c r="G661" s="18"/>
      <c r="T661" s="9"/>
      <c r="U661" s="9"/>
      <c r="V661" s="9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</row>
    <row r="662" spans="3:67" s="1" customFormat="1" hidden="1">
      <c r="C662" s="14"/>
      <c r="F662" s="17"/>
      <c r="G662" s="18"/>
      <c r="T662" s="9"/>
      <c r="U662" s="9"/>
      <c r="V662" s="9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</row>
    <row r="663" spans="3:67" s="1" customFormat="1" hidden="1">
      <c r="C663" s="14"/>
      <c r="F663" s="17"/>
      <c r="G663" s="18"/>
      <c r="T663" s="9"/>
      <c r="U663" s="9"/>
      <c r="V663" s="9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</row>
    <row r="664" spans="3:67" s="1" customFormat="1" hidden="1">
      <c r="C664" s="14"/>
      <c r="F664" s="17"/>
      <c r="G664" s="18"/>
      <c r="T664" s="9"/>
      <c r="U664" s="9"/>
      <c r="V664" s="9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</row>
    <row r="665" spans="3:67" s="1" customFormat="1" hidden="1">
      <c r="C665" s="14"/>
      <c r="F665" s="17"/>
      <c r="G665" s="18"/>
      <c r="T665" s="9"/>
      <c r="U665" s="9"/>
      <c r="V665" s="9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</row>
    <row r="666" spans="3:67" s="1" customFormat="1" hidden="1">
      <c r="C666" s="14"/>
      <c r="F666" s="17"/>
      <c r="G666" s="18"/>
      <c r="T666" s="9"/>
      <c r="U666" s="9"/>
      <c r="V666" s="9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</row>
    <row r="667" spans="3:67" s="1" customFormat="1" hidden="1">
      <c r="C667" s="14"/>
      <c r="F667" s="17"/>
      <c r="G667" s="18"/>
      <c r="T667" s="9"/>
      <c r="U667" s="9"/>
      <c r="V667" s="9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</row>
    <row r="668" spans="3:67" s="1" customFormat="1" hidden="1">
      <c r="C668" s="14"/>
      <c r="F668" s="17"/>
      <c r="G668" s="18"/>
      <c r="T668" s="9"/>
      <c r="U668" s="9"/>
      <c r="V668" s="9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</row>
    <row r="669" spans="3:67" s="1" customFormat="1" hidden="1">
      <c r="C669" s="14"/>
      <c r="F669" s="17"/>
      <c r="G669" s="18"/>
      <c r="T669" s="9"/>
      <c r="U669" s="9"/>
      <c r="V669" s="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</row>
    <row r="670" spans="3:67" s="1" customFormat="1" hidden="1">
      <c r="C670" s="14"/>
      <c r="F670" s="17"/>
      <c r="G670" s="18"/>
      <c r="T670" s="9"/>
      <c r="U670" s="9"/>
      <c r="V670" s="9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</row>
    <row r="671" spans="3:67" s="1" customFormat="1" hidden="1">
      <c r="C671" s="14"/>
      <c r="F671" s="17"/>
      <c r="G671" s="18"/>
      <c r="T671" s="9"/>
      <c r="U671" s="9"/>
      <c r="V671" s="9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</row>
    <row r="672" spans="3:67" s="1" customFormat="1" hidden="1">
      <c r="C672" s="14"/>
      <c r="F672" s="17"/>
      <c r="G672" s="18"/>
      <c r="T672" s="9"/>
      <c r="U672" s="9"/>
      <c r="V672" s="9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</row>
    <row r="673" spans="3:67" s="1" customFormat="1" hidden="1">
      <c r="C673" s="14"/>
      <c r="F673" s="17"/>
      <c r="G673" s="18"/>
      <c r="T673" s="9"/>
      <c r="U673" s="9"/>
      <c r="V673" s="9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</row>
    <row r="674" spans="3:67" s="1" customFormat="1" hidden="1">
      <c r="C674" s="14"/>
      <c r="F674" s="17"/>
      <c r="G674" s="18"/>
      <c r="T674" s="9"/>
      <c r="U674" s="9"/>
      <c r="V674" s="9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</row>
    <row r="675" spans="3:67" s="1" customFormat="1" hidden="1">
      <c r="C675" s="14"/>
      <c r="F675" s="17"/>
      <c r="G675" s="18"/>
      <c r="T675" s="9"/>
      <c r="U675" s="9"/>
      <c r="V675" s="9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</row>
    <row r="676" spans="3:67" s="1" customFormat="1" hidden="1">
      <c r="C676" s="14"/>
      <c r="F676" s="17"/>
      <c r="G676" s="18"/>
      <c r="T676" s="9"/>
      <c r="U676" s="9"/>
      <c r="V676" s="9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</row>
    <row r="677" spans="3:67" s="1" customFormat="1" hidden="1">
      <c r="C677" s="14"/>
      <c r="F677" s="17"/>
      <c r="G677" s="18"/>
      <c r="T677" s="9"/>
      <c r="U677" s="9"/>
      <c r="V677" s="9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</row>
    <row r="678" spans="3:67" s="1" customFormat="1" hidden="1">
      <c r="C678" s="14"/>
      <c r="F678" s="17"/>
      <c r="G678" s="18"/>
      <c r="T678" s="9"/>
      <c r="U678" s="9"/>
      <c r="V678" s="9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</row>
    <row r="679" spans="3:67" s="1" customFormat="1" hidden="1">
      <c r="C679" s="14"/>
      <c r="F679" s="17"/>
      <c r="G679" s="18"/>
      <c r="T679" s="9"/>
      <c r="U679" s="9"/>
      <c r="V679" s="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</row>
    <row r="680" spans="3:67" s="1" customFormat="1" hidden="1">
      <c r="C680" s="14"/>
      <c r="F680" s="17"/>
      <c r="G680" s="18"/>
      <c r="T680" s="9"/>
      <c r="U680" s="9"/>
      <c r="V680" s="9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</row>
    <row r="681" spans="3:67" s="1" customFormat="1" hidden="1">
      <c r="C681" s="14"/>
      <c r="F681" s="17"/>
      <c r="G681" s="18"/>
      <c r="T681" s="9"/>
      <c r="U681" s="9"/>
      <c r="V681" s="9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</row>
    <row r="682" spans="3:67" s="1" customFormat="1" hidden="1">
      <c r="C682" s="14"/>
      <c r="F682" s="17"/>
      <c r="G682" s="18"/>
      <c r="T682" s="9"/>
      <c r="U682" s="9"/>
      <c r="V682" s="9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</row>
    <row r="683" spans="3:67" s="1" customFormat="1" hidden="1">
      <c r="C683" s="14"/>
      <c r="F683" s="17"/>
      <c r="G683" s="18"/>
      <c r="T683" s="9"/>
      <c r="U683" s="9"/>
      <c r="V683" s="9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</row>
    <row r="684" spans="3:67" s="1" customFormat="1" hidden="1">
      <c r="C684" s="14"/>
      <c r="F684" s="17"/>
      <c r="G684" s="18"/>
      <c r="T684" s="9"/>
      <c r="U684" s="9"/>
      <c r="V684" s="9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</row>
    <row r="685" spans="3:67" s="1" customFormat="1" hidden="1">
      <c r="C685" s="14"/>
      <c r="F685" s="17"/>
      <c r="G685" s="18"/>
      <c r="T685" s="9"/>
      <c r="U685" s="9"/>
      <c r="V685" s="9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</row>
    <row r="686" spans="3:67" s="1" customFormat="1" hidden="1">
      <c r="C686" s="14"/>
      <c r="F686" s="17"/>
      <c r="G686" s="18"/>
      <c r="T686" s="9"/>
      <c r="U686" s="9"/>
      <c r="V686" s="9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</row>
    <row r="687" spans="3:67" s="1" customFormat="1" hidden="1">
      <c r="C687" s="14"/>
      <c r="F687" s="17"/>
      <c r="G687" s="18"/>
      <c r="T687" s="9"/>
      <c r="U687" s="9"/>
      <c r="V687" s="9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</row>
    <row r="688" spans="3:67" s="1" customFormat="1" hidden="1">
      <c r="C688" s="14"/>
      <c r="F688" s="17"/>
      <c r="G688" s="18"/>
      <c r="T688" s="9"/>
      <c r="U688" s="9"/>
      <c r="V688" s="9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</row>
    <row r="689" spans="3:67" s="1" customFormat="1" hidden="1">
      <c r="C689" s="14"/>
      <c r="F689" s="17"/>
      <c r="G689" s="18"/>
      <c r="T689" s="9"/>
      <c r="U689" s="9"/>
      <c r="V689" s="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</row>
    <row r="690" spans="3:67" s="1" customFormat="1" hidden="1">
      <c r="C690" s="14"/>
      <c r="F690" s="17"/>
      <c r="G690" s="18"/>
      <c r="T690" s="9"/>
      <c r="U690" s="9"/>
      <c r="V690" s="9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</row>
    <row r="691" spans="3:67" s="1" customFormat="1" hidden="1">
      <c r="C691" s="14"/>
      <c r="F691" s="17"/>
      <c r="G691" s="18"/>
      <c r="T691" s="9"/>
      <c r="U691" s="9"/>
      <c r="V691" s="9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</row>
    <row r="692" spans="3:67" s="1" customFormat="1" hidden="1">
      <c r="C692" s="14"/>
      <c r="F692" s="17"/>
      <c r="G692" s="18"/>
      <c r="T692" s="9"/>
      <c r="U692" s="9"/>
      <c r="V692" s="9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</row>
    <row r="693" spans="3:67" s="1" customFormat="1" hidden="1">
      <c r="C693" s="14"/>
      <c r="F693" s="17"/>
      <c r="G693" s="18"/>
      <c r="T693" s="9"/>
      <c r="U693" s="9"/>
      <c r="V693" s="9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</row>
    <row r="694" spans="3:67" s="1" customFormat="1" hidden="1">
      <c r="C694" s="14"/>
      <c r="F694" s="17"/>
      <c r="G694" s="18"/>
      <c r="T694" s="9"/>
      <c r="U694" s="9"/>
      <c r="V694" s="9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</row>
    <row r="695" spans="3:67" s="1" customFormat="1" hidden="1">
      <c r="C695" s="14"/>
      <c r="F695" s="17"/>
      <c r="G695" s="18"/>
      <c r="T695" s="9"/>
      <c r="U695" s="9"/>
      <c r="V695" s="9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</row>
    <row r="696" spans="3:67" s="1" customFormat="1" hidden="1">
      <c r="C696" s="14"/>
      <c r="F696" s="17"/>
      <c r="G696" s="18"/>
      <c r="T696" s="9"/>
      <c r="U696" s="9"/>
      <c r="V696" s="9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</row>
    <row r="697" spans="3:67" s="1" customFormat="1" hidden="1">
      <c r="C697" s="14"/>
      <c r="F697" s="17"/>
      <c r="G697" s="18"/>
      <c r="T697" s="9"/>
      <c r="U697" s="9"/>
      <c r="V697" s="9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</row>
    <row r="698" spans="3:67" s="1" customFormat="1" hidden="1">
      <c r="C698" s="14"/>
      <c r="F698" s="17"/>
      <c r="G698" s="18"/>
      <c r="T698" s="9"/>
      <c r="U698" s="9"/>
      <c r="V698" s="9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</row>
    <row r="699" spans="3:67" s="1" customFormat="1" hidden="1">
      <c r="C699" s="14"/>
      <c r="F699" s="17"/>
      <c r="G699" s="18"/>
      <c r="T699" s="9"/>
      <c r="U699" s="9"/>
      <c r="V699" s="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</row>
    <row r="700" spans="3:67" s="1" customFormat="1" hidden="1">
      <c r="C700" s="14"/>
      <c r="F700" s="17"/>
      <c r="G700" s="18"/>
      <c r="T700" s="9"/>
      <c r="U700" s="9"/>
      <c r="V700" s="9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</row>
    <row r="701" spans="3:67" s="1" customFormat="1" hidden="1">
      <c r="C701" s="14"/>
      <c r="F701" s="17"/>
      <c r="G701" s="18"/>
      <c r="T701" s="9"/>
      <c r="U701" s="9"/>
      <c r="V701" s="9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</row>
    <row r="702" spans="3:67" s="1" customFormat="1" hidden="1">
      <c r="C702" s="14"/>
      <c r="F702" s="17"/>
      <c r="G702" s="18"/>
      <c r="T702" s="9"/>
      <c r="U702" s="9"/>
      <c r="V702" s="9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</row>
    <row r="703" spans="3:67" s="1" customFormat="1" hidden="1">
      <c r="C703" s="14"/>
      <c r="F703" s="17"/>
      <c r="G703" s="18"/>
      <c r="T703" s="9"/>
      <c r="U703" s="9"/>
      <c r="V703" s="9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</row>
    <row r="704" spans="3:67" s="1" customFormat="1" hidden="1">
      <c r="C704" s="14"/>
      <c r="F704" s="17"/>
      <c r="G704" s="18"/>
      <c r="T704" s="9"/>
      <c r="U704" s="9"/>
      <c r="V704" s="9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</row>
    <row r="705" spans="3:67" s="1" customFormat="1" hidden="1">
      <c r="C705" s="14"/>
      <c r="F705" s="17"/>
      <c r="G705" s="18"/>
      <c r="T705" s="9"/>
      <c r="U705" s="9"/>
      <c r="V705" s="9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</row>
    <row r="706" spans="3:67" s="1" customFormat="1" hidden="1">
      <c r="C706" s="14"/>
      <c r="F706" s="17"/>
      <c r="G706" s="18"/>
      <c r="T706" s="9"/>
      <c r="U706" s="9"/>
      <c r="V706" s="9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</row>
    <row r="707" spans="3:67" s="1" customFormat="1" hidden="1">
      <c r="C707" s="14"/>
      <c r="F707" s="17"/>
      <c r="G707" s="18"/>
      <c r="T707" s="9"/>
      <c r="U707" s="9"/>
      <c r="V707" s="9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</row>
    <row r="708" spans="3:67" s="1" customFormat="1" hidden="1">
      <c r="C708" s="14"/>
      <c r="F708" s="17"/>
      <c r="G708" s="18"/>
      <c r="T708" s="9"/>
      <c r="U708" s="9"/>
      <c r="V708" s="9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</row>
    <row r="709" spans="3:67" s="1" customFormat="1" hidden="1">
      <c r="C709" s="14"/>
      <c r="F709" s="17"/>
      <c r="G709" s="18"/>
      <c r="T709" s="9"/>
      <c r="U709" s="9"/>
      <c r="V709" s="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</row>
    <row r="710" spans="3:67" s="1" customFormat="1" hidden="1">
      <c r="C710" s="14"/>
      <c r="F710" s="17"/>
      <c r="G710" s="18"/>
      <c r="T710" s="9"/>
      <c r="U710" s="9"/>
      <c r="V710" s="9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</row>
    <row r="711" spans="3:67" s="1" customFormat="1" hidden="1">
      <c r="C711" s="14"/>
      <c r="F711" s="17"/>
      <c r="G711" s="18"/>
      <c r="T711" s="9"/>
      <c r="U711" s="9"/>
      <c r="V711" s="9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</row>
    <row r="712" spans="3:67" s="1" customFormat="1" hidden="1">
      <c r="C712" s="14"/>
      <c r="F712" s="17"/>
      <c r="G712" s="18"/>
      <c r="T712" s="9"/>
      <c r="U712" s="9"/>
      <c r="V712" s="9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</row>
    <row r="713" spans="3:67" s="1" customFormat="1" hidden="1">
      <c r="C713" s="14"/>
      <c r="F713" s="17"/>
      <c r="G713" s="18"/>
      <c r="T713" s="9"/>
      <c r="U713" s="9"/>
      <c r="V713" s="9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</row>
    <row r="714" spans="3:67" s="1" customFormat="1" hidden="1">
      <c r="C714" s="14"/>
      <c r="F714" s="17"/>
      <c r="G714" s="18"/>
      <c r="T714" s="9"/>
      <c r="U714" s="9"/>
      <c r="V714" s="9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</row>
    <row r="715" spans="3:67" s="1" customFormat="1" hidden="1">
      <c r="C715" s="14"/>
      <c r="F715" s="17"/>
      <c r="G715" s="18"/>
      <c r="T715" s="9"/>
      <c r="U715" s="9"/>
      <c r="V715" s="9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</row>
    <row r="716" spans="3:67" s="1" customFormat="1" hidden="1">
      <c r="C716" s="14"/>
      <c r="F716" s="17"/>
      <c r="G716" s="18"/>
      <c r="T716" s="9"/>
      <c r="U716" s="9"/>
      <c r="V716" s="9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</row>
    <row r="717" spans="3:67" s="1" customFormat="1" hidden="1">
      <c r="C717" s="14"/>
      <c r="F717" s="17"/>
      <c r="G717" s="18"/>
      <c r="T717" s="9"/>
      <c r="U717" s="9"/>
      <c r="V717" s="9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</row>
    <row r="718" spans="3:67" s="1" customFormat="1" hidden="1">
      <c r="C718" s="14"/>
      <c r="F718" s="17"/>
      <c r="G718" s="18"/>
      <c r="T718" s="9"/>
      <c r="U718" s="9"/>
      <c r="V718" s="9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</row>
    <row r="719" spans="3:67" s="1" customFormat="1" hidden="1">
      <c r="C719" s="14"/>
      <c r="F719" s="17"/>
      <c r="G719" s="18"/>
      <c r="T719" s="9"/>
      <c r="U719" s="9"/>
      <c r="V719" s="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</row>
    <row r="720" spans="3:67" s="1" customFormat="1" hidden="1">
      <c r="C720" s="14"/>
      <c r="F720" s="17"/>
      <c r="G720" s="18"/>
      <c r="T720" s="9"/>
      <c r="U720" s="9"/>
      <c r="V720" s="9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</row>
    <row r="721" spans="3:67" s="1" customFormat="1" hidden="1">
      <c r="C721" s="14"/>
      <c r="F721" s="17"/>
      <c r="G721" s="18"/>
      <c r="T721" s="9"/>
      <c r="U721" s="9"/>
      <c r="V721" s="9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</row>
    <row r="722" spans="3:67" s="1" customFormat="1" hidden="1">
      <c r="C722" s="14"/>
      <c r="F722" s="17"/>
      <c r="G722" s="18"/>
      <c r="T722" s="9"/>
      <c r="U722" s="9"/>
      <c r="V722" s="9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</row>
    <row r="723" spans="3:67" s="1" customFormat="1" hidden="1">
      <c r="C723" s="14"/>
      <c r="F723" s="17"/>
      <c r="G723" s="18"/>
      <c r="T723" s="9"/>
      <c r="U723" s="9"/>
      <c r="V723" s="9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</row>
    <row r="724" spans="3:67" s="1" customFormat="1" hidden="1">
      <c r="C724" s="14"/>
      <c r="F724" s="17"/>
      <c r="G724" s="18"/>
      <c r="T724" s="9"/>
      <c r="U724" s="9"/>
      <c r="V724" s="9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</row>
    <row r="725" spans="3:67" s="1" customFormat="1" hidden="1">
      <c r="C725" s="14"/>
      <c r="F725" s="17"/>
      <c r="G725" s="18"/>
      <c r="T725" s="9"/>
      <c r="U725" s="9"/>
      <c r="V725" s="9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</row>
    <row r="726" spans="3:67" s="1" customFormat="1" hidden="1">
      <c r="C726" s="14"/>
      <c r="F726" s="17"/>
      <c r="G726" s="18"/>
      <c r="T726" s="9"/>
      <c r="U726" s="9"/>
      <c r="V726" s="9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</row>
    <row r="727" spans="3:67" s="1" customFormat="1" hidden="1">
      <c r="C727" s="14"/>
      <c r="F727" s="17"/>
      <c r="G727" s="18"/>
      <c r="T727" s="9"/>
      <c r="U727" s="9"/>
      <c r="V727" s="9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</row>
    <row r="728" spans="3:67" s="1" customFormat="1" hidden="1">
      <c r="C728" s="14"/>
      <c r="F728" s="17"/>
      <c r="G728" s="18"/>
      <c r="T728" s="9"/>
      <c r="U728" s="9"/>
      <c r="V728" s="9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</row>
    <row r="729" spans="3:67" s="1" customFormat="1" hidden="1">
      <c r="C729" s="14"/>
      <c r="F729" s="17"/>
      <c r="G729" s="18"/>
      <c r="T729" s="9"/>
      <c r="U729" s="9"/>
      <c r="V729" s="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</row>
    <row r="730" spans="3:67" s="1" customFormat="1" hidden="1">
      <c r="C730" s="14"/>
      <c r="F730" s="17"/>
      <c r="G730" s="18"/>
      <c r="T730" s="9"/>
      <c r="U730" s="9"/>
      <c r="V730" s="9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</row>
    <row r="731" spans="3:67" s="1" customFormat="1" hidden="1">
      <c r="C731" s="14"/>
      <c r="F731" s="17"/>
      <c r="G731" s="18"/>
      <c r="T731" s="9"/>
      <c r="U731" s="9"/>
      <c r="V731" s="9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</row>
    <row r="732" spans="3:67" s="1" customFormat="1" hidden="1">
      <c r="C732" s="14"/>
      <c r="F732" s="17"/>
      <c r="G732" s="18"/>
      <c r="T732" s="9"/>
      <c r="U732" s="9"/>
      <c r="V732" s="9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</row>
    <row r="733" spans="3:67" s="1" customFormat="1" hidden="1">
      <c r="C733" s="14"/>
      <c r="F733" s="17"/>
      <c r="G733" s="18"/>
      <c r="T733" s="9"/>
      <c r="U733" s="9"/>
      <c r="V733" s="9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</row>
    <row r="734" spans="3:67" s="1" customFormat="1" hidden="1">
      <c r="C734" s="14"/>
      <c r="F734" s="17"/>
      <c r="G734" s="18"/>
      <c r="T734" s="9"/>
      <c r="U734" s="9"/>
      <c r="V734" s="9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</row>
    <row r="735" spans="3:67" s="1" customFormat="1" hidden="1">
      <c r="C735" s="14"/>
      <c r="F735" s="17"/>
      <c r="G735" s="18"/>
      <c r="T735" s="9"/>
      <c r="U735" s="9"/>
      <c r="V735" s="9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</row>
    <row r="736" spans="3:67" s="1" customFormat="1" hidden="1">
      <c r="C736" s="14"/>
      <c r="F736" s="17"/>
      <c r="G736" s="18"/>
      <c r="T736" s="9"/>
      <c r="U736" s="9"/>
      <c r="V736" s="9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</row>
    <row r="737" spans="3:67" s="1" customFormat="1" hidden="1">
      <c r="C737" s="14"/>
      <c r="F737" s="17"/>
      <c r="G737" s="18"/>
      <c r="T737" s="9"/>
      <c r="U737" s="9"/>
      <c r="V737" s="9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</row>
    <row r="738" spans="3:67" s="1" customFormat="1" hidden="1">
      <c r="C738" s="14"/>
      <c r="F738" s="17"/>
      <c r="G738" s="18"/>
      <c r="T738" s="9"/>
      <c r="U738" s="9"/>
      <c r="V738" s="9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</row>
    <row r="739" spans="3:67" s="1" customFormat="1" hidden="1">
      <c r="C739" s="14"/>
      <c r="F739" s="17"/>
      <c r="G739" s="18"/>
      <c r="T739" s="9"/>
      <c r="U739" s="9"/>
      <c r="V739" s="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</row>
    <row r="740" spans="3:67" s="1" customFormat="1" hidden="1">
      <c r="C740" s="14"/>
      <c r="F740" s="17"/>
      <c r="G740" s="18"/>
      <c r="T740" s="9"/>
      <c r="U740" s="9"/>
      <c r="V740" s="9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</row>
    <row r="741" spans="3:67" s="1" customFormat="1" hidden="1">
      <c r="C741" s="14"/>
      <c r="F741" s="17"/>
      <c r="G741" s="18"/>
      <c r="T741" s="9"/>
      <c r="U741" s="9"/>
      <c r="V741" s="9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</row>
    <row r="742" spans="3:67" s="1" customFormat="1" hidden="1">
      <c r="C742" s="14"/>
      <c r="F742" s="17"/>
      <c r="G742" s="18"/>
      <c r="T742" s="9"/>
      <c r="U742" s="9"/>
      <c r="V742" s="9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</row>
    <row r="743" spans="3:67" s="1" customFormat="1" hidden="1">
      <c r="C743" s="14"/>
      <c r="F743" s="17"/>
      <c r="G743" s="18"/>
      <c r="T743" s="9"/>
      <c r="U743" s="9"/>
      <c r="V743" s="9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</row>
    <row r="744" spans="3:67" s="1" customFormat="1" hidden="1">
      <c r="C744" s="14"/>
      <c r="F744" s="17"/>
      <c r="G744" s="18"/>
      <c r="T744" s="9"/>
      <c r="U744" s="9"/>
      <c r="V744" s="9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</row>
    <row r="745" spans="3:67" s="1" customFormat="1" hidden="1">
      <c r="C745" s="14"/>
      <c r="F745" s="17"/>
      <c r="G745" s="18"/>
      <c r="T745" s="9"/>
      <c r="U745" s="9"/>
      <c r="V745" s="9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</row>
    <row r="746" spans="3:67" s="1" customFormat="1" hidden="1">
      <c r="C746" s="14"/>
      <c r="F746" s="17"/>
      <c r="G746" s="18"/>
      <c r="T746" s="9"/>
      <c r="U746" s="9"/>
      <c r="V746" s="9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</row>
    <row r="747" spans="3:67" s="1" customFormat="1" hidden="1">
      <c r="C747" s="14"/>
      <c r="F747" s="17"/>
      <c r="G747" s="18"/>
      <c r="T747" s="9"/>
      <c r="U747" s="9"/>
      <c r="V747" s="9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</row>
    <row r="748" spans="3:67" s="1" customFormat="1" hidden="1">
      <c r="C748" s="14"/>
      <c r="F748" s="17"/>
      <c r="G748" s="18"/>
      <c r="T748" s="9"/>
      <c r="U748" s="9"/>
      <c r="V748" s="9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</row>
    <row r="749" spans="3:67" s="1" customFormat="1" hidden="1">
      <c r="C749" s="14"/>
      <c r="F749" s="17"/>
      <c r="G749" s="18"/>
      <c r="T749" s="9"/>
      <c r="U749" s="9"/>
      <c r="V749" s="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</row>
    <row r="750" spans="3:67" s="1" customFormat="1" hidden="1">
      <c r="C750" s="14"/>
      <c r="F750" s="17"/>
      <c r="G750" s="18"/>
      <c r="T750" s="9"/>
      <c r="U750" s="9"/>
      <c r="V750" s="9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</row>
    <row r="751" spans="3:67" s="1" customFormat="1" hidden="1">
      <c r="C751" s="14"/>
      <c r="F751" s="17"/>
      <c r="G751" s="18"/>
      <c r="T751" s="9"/>
      <c r="U751" s="9"/>
      <c r="V751" s="9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</row>
    <row r="752" spans="3:67" s="1" customFormat="1" hidden="1">
      <c r="C752" s="14"/>
      <c r="F752" s="17"/>
      <c r="G752" s="18"/>
      <c r="T752" s="9"/>
      <c r="U752" s="9"/>
      <c r="V752" s="9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</row>
    <row r="753" spans="3:67" s="1" customFormat="1" hidden="1">
      <c r="C753" s="14"/>
      <c r="F753" s="17"/>
      <c r="G753" s="18"/>
      <c r="T753" s="9"/>
      <c r="U753" s="9"/>
      <c r="V753" s="9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</row>
    <row r="754" spans="3:67" s="1" customFormat="1" hidden="1">
      <c r="C754" s="14"/>
      <c r="F754" s="17"/>
      <c r="G754" s="18"/>
      <c r="T754" s="9"/>
      <c r="U754" s="9"/>
      <c r="V754" s="9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</row>
    <row r="755" spans="3:67" s="1" customFormat="1" hidden="1">
      <c r="C755" s="14"/>
      <c r="F755" s="17"/>
      <c r="G755" s="18"/>
      <c r="T755" s="9"/>
      <c r="U755" s="9"/>
      <c r="V755" s="9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</row>
    <row r="756" spans="3:67" s="1" customFormat="1" hidden="1">
      <c r="C756" s="14"/>
      <c r="F756" s="17"/>
      <c r="G756" s="18"/>
      <c r="T756" s="9"/>
      <c r="U756" s="9"/>
      <c r="V756" s="9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</row>
    <row r="757" spans="3:67" s="1" customFormat="1" hidden="1">
      <c r="C757" s="14"/>
      <c r="F757" s="17"/>
      <c r="G757" s="18"/>
      <c r="T757" s="9"/>
      <c r="U757" s="9"/>
      <c r="V757" s="9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</row>
    <row r="758" spans="3:67" s="1" customFormat="1" hidden="1">
      <c r="C758" s="14"/>
      <c r="F758" s="17"/>
      <c r="G758" s="18"/>
      <c r="T758" s="9"/>
      <c r="U758" s="9"/>
      <c r="V758" s="9"/>
      <c r="AO758"/>
      <c r="AP758"/>
      <c r="AQ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</row>
    <row r="759" spans="3:67" s="1" customFormat="1" hidden="1">
      <c r="C759" s="14"/>
      <c r="F759" s="17"/>
      <c r="G759" s="18"/>
      <c r="T759" s="9"/>
      <c r="U759" s="9"/>
      <c r="V759" s="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</row>
    <row r="760" spans="3:67" s="1" customFormat="1" hidden="1">
      <c r="C760" s="14"/>
      <c r="F760" s="17"/>
      <c r="G760" s="18"/>
      <c r="T760" s="9"/>
      <c r="U760" s="9"/>
      <c r="V760" s="9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</row>
    <row r="761" spans="3:67" s="1" customFormat="1" hidden="1">
      <c r="C761" s="14"/>
      <c r="F761" s="17"/>
      <c r="G761" s="18"/>
      <c r="T761" s="9"/>
      <c r="U761" s="9"/>
      <c r="V761" s="9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</row>
    <row r="762" spans="3:67" s="1" customFormat="1" hidden="1">
      <c r="C762" s="14"/>
      <c r="F762" s="17"/>
      <c r="G762" s="18"/>
      <c r="T762" s="9"/>
      <c r="U762" s="9"/>
      <c r="V762" s="9"/>
      <c r="AO762"/>
      <c r="AP762"/>
      <c r="AQ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</row>
    <row r="763" spans="3:67" s="1" customFormat="1" hidden="1">
      <c r="C763" s="14"/>
      <c r="F763" s="17"/>
      <c r="G763" s="18"/>
      <c r="T763" s="9"/>
      <c r="U763" s="9"/>
      <c r="V763" s="9"/>
      <c r="AO763"/>
      <c r="AP763"/>
      <c r="AQ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</row>
    <row r="764" spans="3:67" s="1" customFormat="1" hidden="1">
      <c r="C764" s="14"/>
      <c r="F764" s="17"/>
      <c r="G764" s="18"/>
      <c r="T764" s="9"/>
      <c r="U764" s="9"/>
      <c r="V764" s="9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</row>
    <row r="765" spans="3:67" s="1" customFormat="1" hidden="1">
      <c r="C765" s="14"/>
      <c r="F765" s="17"/>
      <c r="G765" s="18"/>
      <c r="T765" s="9"/>
      <c r="U765" s="9"/>
      <c r="V765" s="9"/>
      <c r="AO765"/>
      <c r="AP765"/>
      <c r="AQ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</row>
    <row r="766" spans="3:67" s="1" customFormat="1" hidden="1">
      <c r="C766" s="14"/>
      <c r="F766" s="17"/>
      <c r="G766" s="18"/>
      <c r="T766" s="9"/>
      <c r="U766" s="9"/>
      <c r="V766" s="9"/>
      <c r="AO766"/>
      <c r="AP766"/>
      <c r="AQ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</row>
    <row r="767" spans="3:67" s="1" customFormat="1" hidden="1">
      <c r="C767" s="14"/>
      <c r="F767" s="17"/>
      <c r="G767" s="18"/>
      <c r="T767" s="9"/>
      <c r="U767" s="9"/>
      <c r="V767" s="9"/>
      <c r="AO767"/>
      <c r="AP767"/>
      <c r="AQ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</row>
    <row r="768" spans="3:67" s="1" customFormat="1" hidden="1">
      <c r="C768" s="14"/>
      <c r="F768" s="17"/>
      <c r="G768" s="18"/>
      <c r="T768" s="9"/>
      <c r="U768" s="9"/>
      <c r="V768" s="9"/>
      <c r="AO768"/>
      <c r="AP768"/>
      <c r="AQ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</row>
    <row r="769" spans="3:67" s="1" customFormat="1" hidden="1">
      <c r="C769" s="14"/>
      <c r="F769" s="17"/>
      <c r="G769" s="18"/>
      <c r="T769" s="9"/>
      <c r="U769" s="9"/>
      <c r="V769" s="9"/>
      <c r="AO769"/>
      <c r="AP769"/>
      <c r="AQ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</row>
    <row r="770" spans="3:67" s="1" customFormat="1" hidden="1">
      <c r="C770" s="14"/>
      <c r="F770" s="17"/>
      <c r="G770" s="18"/>
      <c r="T770" s="9"/>
      <c r="U770" s="9"/>
      <c r="V770" s="9"/>
      <c r="AO770"/>
      <c r="AP770"/>
      <c r="AQ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</row>
    <row r="771" spans="3:67" s="1" customFormat="1" hidden="1">
      <c r="C771" s="14"/>
      <c r="F771" s="17"/>
      <c r="G771" s="18"/>
      <c r="T771" s="9"/>
      <c r="U771" s="9"/>
      <c r="V771" s="9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</row>
    <row r="772" spans="3:67" s="1" customFormat="1" hidden="1">
      <c r="C772" s="14"/>
      <c r="F772" s="17"/>
      <c r="G772" s="18"/>
      <c r="T772" s="9"/>
      <c r="U772" s="9"/>
      <c r="V772" s="9"/>
      <c r="AO772"/>
      <c r="AP772"/>
      <c r="AQ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</row>
    <row r="773" spans="3:67" s="1" customFormat="1" hidden="1">
      <c r="C773" s="14"/>
      <c r="F773" s="17"/>
      <c r="G773" s="18"/>
      <c r="T773" s="9"/>
      <c r="U773" s="9"/>
      <c r="V773" s="9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</row>
    <row r="774" spans="3:67" s="1" customFormat="1" hidden="1">
      <c r="C774" s="14"/>
      <c r="F774" s="17"/>
      <c r="G774" s="18"/>
      <c r="T774" s="9"/>
      <c r="U774" s="9"/>
      <c r="V774" s="9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</row>
    <row r="775" spans="3:67" s="1" customFormat="1" hidden="1">
      <c r="C775" s="14"/>
      <c r="F775" s="17"/>
      <c r="G775" s="18"/>
      <c r="T775" s="9"/>
      <c r="U775" s="9"/>
      <c r="V775" s="9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</row>
    <row r="776" spans="3:67" s="1" customFormat="1" hidden="1">
      <c r="C776" s="14"/>
      <c r="F776" s="17"/>
      <c r="G776" s="18"/>
      <c r="T776" s="9"/>
      <c r="U776" s="9"/>
      <c r="V776" s="9"/>
      <c r="AO776"/>
      <c r="AP776"/>
      <c r="AQ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</row>
    <row r="777" spans="3:67" s="1" customFormat="1" hidden="1">
      <c r="C777" s="14"/>
      <c r="F777" s="17"/>
      <c r="G777" s="18"/>
      <c r="T777" s="9"/>
      <c r="U777" s="9"/>
      <c r="V777" s="9"/>
      <c r="AO777"/>
      <c r="AP777"/>
      <c r="AQ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</row>
    <row r="778" spans="3:67" s="1" customFormat="1" hidden="1">
      <c r="C778" s="14"/>
      <c r="F778" s="17"/>
      <c r="G778" s="18"/>
      <c r="T778" s="9"/>
      <c r="U778" s="9"/>
      <c r="V778" s="9"/>
      <c r="AO778"/>
      <c r="AP778"/>
      <c r="AQ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</row>
    <row r="779" spans="3:67" s="1" customFormat="1" hidden="1">
      <c r="C779" s="14"/>
      <c r="F779" s="17"/>
      <c r="G779" s="18"/>
      <c r="T779" s="9"/>
      <c r="U779" s="9"/>
      <c r="V779" s="9"/>
      <c r="AO779"/>
      <c r="AP779"/>
      <c r="AQ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</row>
    <row r="780" spans="3:67" s="1" customFormat="1" hidden="1">
      <c r="C780" s="14"/>
      <c r="F780" s="17"/>
      <c r="G780" s="18"/>
      <c r="T780" s="9"/>
      <c r="U780" s="9"/>
      <c r="V780" s="9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</row>
    <row r="781" spans="3:67" s="1" customFormat="1" hidden="1">
      <c r="C781" s="14"/>
      <c r="F781" s="17"/>
      <c r="G781" s="18"/>
      <c r="T781" s="9"/>
      <c r="U781" s="9"/>
      <c r="V781" s="9"/>
      <c r="AO781"/>
      <c r="AP781"/>
      <c r="AQ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</row>
    <row r="782" spans="3:67" s="1" customFormat="1" hidden="1">
      <c r="C782" s="14"/>
      <c r="F782" s="17"/>
      <c r="G782" s="18"/>
      <c r="T782" s="9"/>
      <c r="U782" s="9"/>
      <c r="V782" s="9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</row>
    <row r="783" spans="3:67" s="1" customFormat="1" hidden="1">
      <c r="C783" s="14"/>
      <c r="F783" s="17"/>
      <c r="G783" s="18"/>
      <c r="T783" s="9"/>
      <c r="U783" s="9"/>
      <c r="V783" s="9"/>
      <c r="AO783"/>
      <c r="AP783"/>
      <c r="AQ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</row>
    <row r="784" spans="3:67" s="1" customFormat="1" hidden="1">
      <c r="C784" s="14"/>
      <c r="F784" s="17"/>
      <c r="G784" s="18"/>
      <c r="T784" s="9"/>
      <c r="U784" s="9"/>
      <c r="V784" s="9"/>
      <c r="AO784"/>
      <c r="AP784"/>
      <c r="AQ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</row>
    <row r="785" spans="3:67" s="1" customFormat="1" hidden="1">
      <c r="C785" s="14"/>
      <c r="F785" s="17"/>
      <c r="G785" s="18"/>
      <c r="T785" s="9"/>
      <c r="U785" s="9"/>
      <c r="V785" s="9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</row>
    <row r="786" spans="3:67" s="1" customFormat="1" hidden="1">
      <c r="C786" s="14"/>
      <c r="F786" s="17"/>
      <c r="G786" s="18"/>
      <c r="T786" s="9"/>
      <c r="U786" s="9"/>
      <c r="V786" s="9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</row>
    <row r="787" spans="3:67" s="1" customFormat="1" hidden="1">
      <c r="C787" s="14"/>
      <c r="F787" s="17"/>
      <c r="G787" s="18"/>
      <c r="T787" s="9"/>
      <c r="U787" s="9"/>
      <c r="V787" s="9"/>
      <c r="AO787"/>
      <c r="AP787"/>
      <c r="AQ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</row>
    <row r="788" spans="3:67" s="1" customFormat="1" hidden="1">
      <c r="C788" s="14"/>
      <c r="F788" s="17"/>
      <c r="G788" s="18"/>
      <c r="T788" s="9"/>
      <c r="U788" s="9"/>
      <c r="V788" s="9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</row>
    <row r="789" spans="3:67" s="1" customFormat="1" hidden="1">
      <c r="C789" s="14"/>
      <c r="F789" s="17"/>
      <c r="G789" s="18"/>
      <c r="T789" s="9"/>
      <c r="U789" s="9"/>
      <c r="V789" s="9"/>
      <c r="AO789"/>
      <c r="AP789"/>
      <c r="AQ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</row>
    <row r="790" spans="3:67" s="1" customFormat="1" hidden="1">
      <c r="C790" s="14"/>
      <c r="F790" s="17"/>
      <c r="G790" s="18"/>
      <c r="T790" s="9"/>
      <c r="U790" s="9"/>
      <c r="V790" s="9"/>
      <c r="AO790"/>
      <c r="AP790"/>
      <c r="AQ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</row>
    <row r="791" spans="3:67" s="1" customFormat="1" hidden="1">
      <c r="C791" s="14"/>
      <c r="F791" s="17"/>
      <c r="G791" s="18"/>
      <c r="T791" s="9"/>
      <c r="U791" s="9"/>
      <c r="V791" s="9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</row>
    <row r="792" spans="3:67" s="1" customFormat="1" hidden="1">
      <c r="C792" s="14"/>
      <c r="F792" s="17"/>
      <c r="G792" s="18"/>
      <c r="T792" s="9"/>
      <c r="U792" s="9"/>
      <c r="V792" s="9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</row>
    <row r="793" spans="3:67" s="1" customFormat="1" hidden="1">
      <c r="C793" s="14"/>
      <c r="F793" s="17"/>
      <c r="G793" s="18"/>
      <c r="T793" s="9"/>
      <c r="U793" s="9"/>
      <c r="V793" s="9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</row>
    <row r="794" spans="3:67" s="1" customFormat="1" hidden="1">
      <c r="C794" s="14"/>
      <c r="F794" s="17"/>
      <c r="G794" s="18"/>
      <c r="T794" s="9"/>
      <c r="U794" s="9"/>
      <c r="V794" s="9"/>
      <c r="AO794"/>
      <c r="AP794"/>
      <c r="AQ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</row>
    <row r="795" spans="3:67" s="1" customFormat="1" hidden="1">
      <c r="C795" s="14"/>
      <c r="F795" s="17"/>
      <c r="G795" s="18"/>
      <c r="T795" s="9"/>
      <c r="U795" s="9"/>
      <c r="V795" s="9"/>
      <c r="AO795"/>
      <c r="AP795"/>
      <c r="AQ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</row>
    <row r="796" spans="3:67" s="1" customFormat="1" hidden="1">
      <c r="C796" s="14"/>
      <c r="F796" s="17"/>
      <c r="G796" s="18"/>
      <c r="T796" s="9"/>
      <c r="U796" s="9"/>
      <c r="V796" s="9"/>
      <c r="AO796"/>
      <c r="AP796"/>
      <c r="AQ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</row>
    <row r="797" spans="3:67" s="1" customFormat="1" hidden="1">
      <c r="C797" s="14"/>
      <c r="F797" s="17"/>
      <c r="G797" s="18"/>
      <c r="T797" s="9"/>
      <c r="U797" s="9"/>
      <c r="V797" s="9"/>
      <c r="AO797"/>
      <c r="AP797"/>
      <c r="AQ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</row>
    <row r="798" spans="3:67" s="1" customFormat="1" hidden="1">
      <c r="C798" s="14"/>
      <c r="F798" s="17"/>
      <c r="G798" s="18"/>
      <c r="T798" s="9"/>
      <c r="U798" s="9"/>
      <c r="V798" s="9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</row>
    <row r="799" spans="3:67" s="1" customFormat="1" hidden="1">
      <c r="C799" s="14"/>
      <c r="F799" s="17"/>
      <c r="G799" s="18"/>
      <c r="T799" s="9"/>
      <c r="U799" s="9"/>
      <c r="V799" s="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</row>
    <row r="800" spans="3:67" s="1" customFormat="1" hidden="1">
      <c r="C800" s="14"/>
      <c r="F800" s="17"/>
      <c r="G800" s="18"/>
      <c r="T800" s="9"/>
      <c r="U800" s="9"/>
      <c r="V800" s="9"/>
      <c r="AO800"/>
      <c r="AP800"/>
      <c r="AQ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</row>
    <row r="801" spans="3:67" s="1" customFormat="1" hidden="1">
      <c r="C801" s="14"/>
      <c r="F801" s="17"/>
      <c r="G801" s="18"/>
      <c r="T801" s="9"/>
      <c r="U801" s="9"/>
      <c r="V801" s="9"/>
      <c r="AO801"/>
      <c r="AP801"/>
      <c r="AQ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</row>
    <row r="802" spans="3:67" s="1" customFormat="1" hidden="1">
      <c r="C802" s="14"/>
      <c r="F802" s="17"/>
      <c r="G802" s="18"/>
      <c r="T802" s="9"/>
      <c r="U802" s="9"/>
      <c r="V802" s="9"/>
      <c r="AO802"/>
      <c r="AP802"/>
      <c r="AQ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</row>
    <row r="803" spans="3:67" s="1" customFormat="1" hidden="1">
      <c r="C803" s="14"/>
      <c r="F803" s="17"/>
      <c r="G803" s="18"/>
      <c r="T803" s="9"/>
      <c r="U803" s="9"/>
      <c r="V803" s="9"/>
      <c r="AO803"/>
      <c r="AP803"/>
      <c r="AQ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</row>
    <row r="804" spans="3:67" s="1" customFormat="1" hidden="1">
      <c r="C804" s="14"/>
      <c r="F804" s="17"/>
      <c r="G804" s="18"/>
      <c r="T804" s="9"/>
      <c r="U804" s="9"/>
      <c r="V804" s="9"/>
      <c r="AO804"/>
      <c r="AP804"/>
      <c r="AQ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</row>
    <row r="805" spans="3:67" s="1" customFormat="1" hidden="1">
      <c r="C805" s="14"/>
      <c r="F805" s="17"/>
      <c r="G805" s="18"/>
      <c r="T805" s="9"/>
      <c r="U805" s="9"/>
      <c r="V805" s="9"/>
      <c r="AO805"/>
      <c r="AP805"/>
      <c r="AQ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</row>
    <row r="806" spans="3:67" s="1" customFormat="1" hidden="1">
      <c r="C806" s="14"/>
      <c r="F806" s="17"/>
      <c r="G806" s="18"/>
      <c r="T806" s="9"/>
      <c r="U806" s="9"/>
      <c r="V806" s="9"/>
      <c r="AO806"/>
      <c r="AP806"/>
      <c r="AQ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</row>
    <row r="807" spans="3:67" s="1" customFormat="1" hidden="1">
      <c r="C807" s="14"/>
      <c r="F807" s="17"/>
      <c r="G807" s="18"/>
      <c r="T807" s="9"/>
      <c r="U807" s="9"/>
      <c r="V807" s="9"/>
      <c r="AO807"/>
      <c r="AP807"/>
      <c r="AQ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</row>
    <row r="808" spans="3:67" s="1" customFormat="1" hidden="1">
      <c r="C808" s="14"/>
      <c r="F808" s="17"/>
      <c r="G808" s="18"/>
      <c r="T808" s="9"/>
      <c r="U808" s="9"/>
      <c r="V808" s="9"/>
      <c r="AO808"/>
      <c r="AP808"/>
      <c r="AQ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</row>
    <row r="809" spans="3:67" s="1" customFormat="1" hidden="1">
      <c r="C809" s="14"/>
      <c r="F809" s="17"/>
      <c r="G809" s="18"/>
      <c r="T809" s="9"/>
      <c r="U809" s="9"/>
      <c r="V809" s="9"/>
      <c r="AO809"/>
      <c r="AP809"/>
      <c r="AQ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</row>
    <row r="810" spans="3:67" s="1" customFormat="1" hidden="1">
      <c r="C810" s="14"/>
      <c r="F810" s="17"/>
      <c r="G810" s="18"/>
      <c r="T810" s="9"/>
      <c r="U810" s="9"/>
      <c r="V810" s="9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</row>
    <row r="811" spans="3:67" s="1" customFormat="1" hidden="1">
      <c r="C811" s="14"/>
      <c r="F811" s="17"/>
      <c r="G811" s="18"/>
      <c r="T811" s="9"/>
      <c r="U811" s="9"/>
      <c r="V811" s="9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</row>
    <row r="812" spans="3:67" s="1" customFormat="1" hidden="1">
      <c r="C812" s="14"/>
      <c r="F812" s="17"/>
      <c r="G812" s="18"/>
      <c r="T812" s="9"/>
      <c r="U812" s="9"/>
      <c r="V812" s="9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</row>
    <row r="813" spans="3:67" s="1" customFormat="1" hidden="1">
      <c r="C813" s="14"/>
      <c r="F813" s="17"/>
      <c r="G813" s="18"/>
      <c r="T813" s="9"/>
      <c r="U813" s="9"/>
      <c r="V813" s="9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</row>
    <row r="814" spans="3:67" s="1" customFormat="1" hidden="1">
      <c r="C814" s="14"/>
      <c r="F814" s="17"/>
      <c r="G814" s="18"/>
      <c r="T814" s="9"/>
      <c r="U814" s="9"/>
      <c r="V814" s="9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</row>
    <row r="815" spans="3:67" s="1" customFormat="1" hidden="1">
      <c r="C815" s="14"/>
      <c r="F815" s="17"/>
      <c r="G815" s="18"/>
      <c r="T815" s="9"/>
      <c r="U815" s="9"/>
      <c r="V815" s="9"/>
      <c r="AO815"/>
      <c r="AP815"/>
      <c r="AQ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</row>
    <row r="816" spans="3:67" s="1" customFormat="1" hidden="1">
      <c r="C816" s="14"/>
      <c r="F816" s="17"/>
      <c r="G816" s="18"/>
      <c r="T816" s="9"/>
      <c r="U816" s="9"/>
      <c r="V816" s="9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</row>
    <row r="817" spans="3:67" s="1" customFormat="1" hidden="1">
      <c r="C817" s="14"/>
      <c r="F817" s="17"/>
      <c r="G817" s="18"/>
      <c r="T817" s="9"/>
      <c r="U817" s="9"/>
      <c r="V817" s="9"/>
      <c r="AO817"/>
      <c r="AP817"/>
      <c r="AQ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</row>
    <row r="818" spans="3:67" s="1" customFormat="1" hidden="1">
      <c r="C818" s="14"/>
      <c r="F818" s="17"/>
      <c r="G818" s="18"/>
      <c r="T818" s="9"/>
      <c r="U818" s="9"/>
      <c r="V818" s="9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</row>
    <row r="819" spans="3:67" s="1" customFormat="1" hidden="1">
      <c r="C819" s="14"/>
      <c r="F819" s="17"/>
      <c r="G819" s="18"/>
      <c r="T819" s="9"/>
      <c r="U819" s="9"/>
      <c r="V819" s="9"/>
      <c r="AO819"/>
      <c r="AP819"/>
      <c r="AQ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</row>
    <row r="820" spans="3:67" s="1" customFormat="1" hidden="1">
      <c r="C820" s="14"/>
      <c r="F820" s="17"/>
      <c r="G820" s="18"/>
      <c r="T820" s="9"/>
      <c r="U820" s="9"/>
      <c r="V820" s="9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</row>
    <row r="821" spans="3:67" s="1" customFormat="1" hidden="1">
      <c r="C821" s="14"/>
      <c r="F821" s="17"/>
      <c r="G821" s="18"/>
      <c r="T821" s="9"/>
      <c r="U821" s="9"/>
      <c r="V821" s="9"/>
      <c r="AO821"/>
      <c r="AP821"/>
      <c r="AQ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</row>
    <row r="822" spans="3:67" s="1" customFormat="1" hidden="1">
      <c r="C822" s="14"/>
      <c r="F822" s="17"/>
      <c r="G822" s="18"/>
      <c r="T822" s="9"/>
      <c r="U822" s="9"/>
      <c r="V822" s="9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</row>
    <row r="823" spans="3:67" s="1" customFormat="1" hidden="1">
      <c r="C823" s="14"/>
      <c r="F823" s="17"/>
      <c r="G823" s="18"/>
      <c r="T823" s="9"/>
      <c r="U823" s="9"/>
      <c r="V823" s="9"/>
      <c r="AO823"/>
      <c r="AP823"/>
      <c r="AQ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</row>
    <row r="824" spans="3:67" s="1" customFormat="1" hidden="1">
      <c r="C824" s="14"/>
      <c r="F824" s="17"/>
      <c r="G824" s="18"/>
      <c r="T824" s="9"/>
      <c r="U824" s="9"/>
      <c r="V824" s="9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</row>
    <row r="825" spans="3:67" s="1" customFormat="1" hidden="1">
      <c r="C825" s="14"/>
      <c r="F825" s="17"/>
      <c r="G825" s="18"/>
      <c r="T825" s="9"/>
      <c r="U825" s="9"/>
      <c r="V825" s="9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</row>
    <row r="826" spans="3:67" s="1" customFormat="1" hidden="1">
      <c r="C826" s="14"/>
      <c r="F826" s="17"/>
      <c r="G826" s="18"/>
      <c r="T826" s="9"/>
      <c r="U826" s="9"/>
      <c r="V826" s="9"/>
      <c r="AO826"/>
      <c r="AP826"/>
      <c r="AQ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</row>
    <row r="827" spans="3:67" s="1" customFormat="1" hidden="1">
      <c r="C827" s="14"/>
      <c r="F827" s="17"/>
      <c r="G827" s="18"/>
      <c r="T827" s="9"/>
      <c r="U827" s="9"/>
      <c r="V827" s="9"/>
      <c r="AO827"/>
      <c r="AP827"/>
      <c r="AQ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</row>
    <row r="828" spans="3:67" s="1" customFormat="1" hidden="1">
      <c r="C828" s="14"/>
      <c r="F828" s="17"/>
      <c r="G828" s="18"/>
      <c r="T828" s="9"/>
      <c r="U828" s="9"/>
      <c r="V828" s="9"/>
      <c r="AO828"/>
      <c r="AP828"/>
      <c r="AQ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</row>
    <row r="829" spans="3:67" s="1" customFormat="1" hidden="1">
      <c r="C829" s="14"/>
      <c r="F829" s="17"/>
      <c r="G829" s="18"/>
      <c r="T829" s="9"/>
      <c r="U829" s="9"/>
      <c r="V829" s="9"/>
      <c r="AO829"/>
      <c r="AP829"/>
      <c r="AQ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</row>
    <row r="830" spans="3:67" s="1" customFormat="1" hidden="1">
      <c r="C830" s="14"/>
      <c r="F830" s="17"/>
      <c r="G830" s="18"/>
      <c r="T830" s="9"/>
      <c r="U830" s="9"/>
      <c r="V830" s="9"/>
      <c r="AO830"/>
      <c r="AP830"/>
      <c r="AQ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</row>
    <row r="831" spans="3:67" s="1" customFormat="1" hidden="1">
      <c r="C831" s="14"/>
      <c r="F831" s="17"/>
      <c r="G831" s="18"/>
      <c r="T831" s="9"/>
      <c r="U831" s="9"/>
      <c r="V831" s="9"/>
      <c r="AO831"/>
      <c r="AP831"/>
      <c r="AQ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</row>
    <row r="832" spans="3:67" s="1" customFormat="1" hidden="1">
      <c r="C832" s="14"/>
      <c r="F832" s="17"/>
      <c r="G832" s="18"/>
      <c r="T832" s="9"/>
      <c r="U832" s="9"/>
      <c r="V832" s="9"/>
      <c r="AO832"/>
      <c r="AP832"/>
      <c r="AQ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</row>
    <row r="833" spans="3:67" s="1" customFormat="1" hidden="1">
      <c r="C833" s="14"/>
      <c r="F833" s="17"/>
      <c r="G833" s="18"/>
      <c r="T833" s="9"/>
      <c r="U833" s="9"/>
      <c r="V833" s="9"/>
      <c r="AO833"/>
      <c r="AP833"/>
      <c r="AQ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</row>
    <row r="834" spans="3:67" s="1" customFormat="1" hidden="1">
      <c r="C834" s="14"/>
      <c r="F834" s="17"/>
      <c r="G834" s="18"/>
      <c r="T834" s="9"/>
      <c r="U834" s="9"/>
      <c r="V834" s="9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</row>
    <row r="835" spans="3:67" s="1" customFormat="1" hidden="1">
      <c r="C835" s="14"/>
      <c r="F835" s="17"/>
      <c r="G835" s="18"/>
      <c r="T835" s="9"/>
      <c r="U835" s="9"/>
      <c r="V835" s="9"/>
      <c r="AO835"/>
      <c r="AP835"/>
      <c r="AQ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</row>
    <row r="836" spans="3:67" s="1" customFormat="1" hidden="1">
      <c r="C836" s="14"/>
      <c r="F836" s="17"/>
      <c r="G836" s="18"/>
      <c r="T836" s="9"/>
      <c r="U836" s="9"/>
      <c r="V836" s="9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</row>
    <row r="837" spans="3:67" s="1" customFormat="1" hidden="1">
      <c r="C837" s="14"/>
      <c r="F837" s="17"/>
      <c r="G837" s="18"/>
      <c r="T837" s="9"/>
      <c r="U837" s="9"/>
      <c r="V837" s="9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</row>
    <row r="838" spans="3:67" s="1" customFormat="1" hidden="1">
      <c r="C838" s="14"/>
      <c r="F838" s="17"/>
      <c r="G838" s="18"/>
      <c r="T838" s="9"/>
      <c r="U838" s="9"/>
      <c r="V838" s="9"/>
      <c r="AO838"/>
      <c r="AP838"/>
      <c r="AQ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</row>
    <row r="839" spans="3:67" s="1" customFormat="1" hidden="1">
      <c r="C839" s="14"/>
      <c r="F839" s="17"/>
      <c r="G839" s="18"/>
      <c r="T839" s="9"/>
      <c r="U839" s="9"/>
      <c r="V839" s="9"/>
      <c r="AO839"/>
      <c r="AP839"/>
      <c r="AQ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</row>
    <row r="840" spans="3:67" s="1" customFormat="1" hidden="1">
      <c r="C840" s="14"/>
      <c r="F840" s="17"/>
      <c r="G840" s="18"/>
      <c r="T840" s="9"/>
      <c r="U840" s="9"/>
      <c r="V840" s="9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</row>
    <row r="841" spans="3:67" s="1" customFormat="1" hidden="1">
      <c r="C841" s="14"/>
      <c r="F841" s="17"/>
      <c r="G841" s="18"/>
      <c r="T841" s="9"/>
      <c r="U841" s="9"/>
      <c r="V841" s="9"/>
      <c r="AO841"/>
      <c r="AP841"/>
      <c r="AQ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</row>
    <row r="842" spans="3:67" s="1" customFormat="1" hidden="1">
      <c r="C842" s="14"/>
      <c r="F842" s="17"/>
      <c r="G842" s="18"/>
      <c r="T842" s="9"/>
      <c r="U842" s="9"/>
      <c r="V842" s="9"/>
      <c r="AO842"/>
      <c r="AP842"/>
      <c r="AQ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</row>
    <row r="843" spans="3:67" s="1" customFormat="1" hidden="1">
      <c r="C843" s="14"/>
      <c r="F843" s="17"/>
      <c r="G843" s="18"/>
      <c r="T843" s="9"/>
      <c r="U843" s="9"/>
      <c r="V843" s="9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</row>
    <row r="844" spans="3:67" s="1" customFormat="1" hidden="1">
      <c r="C844" s="14"/>
      <c r="F844" s="17"/>
      <c r="G844" s="18"/>
      <c r="T844" s="9"/>
      <c r="U844" s="9"/>
      <c r="V844" s="9"/>
      <c r="AO844"/>
      <c r="AP844"/>
      <c r="AQ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</row>
    <row r="845" spans="3:67" s="1" customFormat="1" hidden="1">
      <c r="C845" s="14"/>
      <c r="F845" s="17"/>
      <c r="G845" s="18"/>
      <c r="T845" s="9"/>
      <c r="U845" s="9"/>
      <c r="V845" s="9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</row>
    <row r="846" spans="3:67" s="1" customFormat="1" hidden="1">
      <c r="C846" s="14"/>
      <c r="F846" s="17"/>
      <c r="G846" s="18"/>
      <c r="T846" s="9"/>
      <c r="U846" s="9"/>
      <c r="V846" s="9"/>
      <c r="AO846"/>
      <c r="AP846"/>
      <c r="AQ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</row>
    <row r="847" spans="3:67" s="1" customFormat="1" hidden="1">
      <c r="C847" s="14"/>
      <c r="F847" s="17"/>
      <c r="G847" s="18"/>
      <c r="T847" s="9"/>
      <c r="U847" s="9"/>
      <c r="V847" s="9"/>
      <c r="AO847"/>
      <c r="AP847"/>
      <c r="AQ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</row>
    <row r="848" spans="3:67" s="1" customFormat="1" hidden="1">
      <c r="C848" s="14"/>
      <c r="F848" s="17"/>
      <c r="G848" s="18"/>
      <c r="T848" s="9"/>
      <c r="U848" s="9"/>
      <c r="V848" s="9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</row>
    <row r="849" spans="3:67" s="1" customFormat="1" hidden="1">
      <c r="C849" s="14"/>
      <c r="F849" s="17"/>
      <c r="G849" s="18"/>
      <c r="T849" s="9"/>
      <c r="U849" s="9"/>
      <c r="V849" s="9"/>
      <c r="AO849"/>
      <c r="AP849"/>
      <c r="AQ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</row>
    <row r="850" spans="3:67" s="1" customFormat="1" hidden="1">
      <c r="C850" s="14"/>
      <c r="F850" s="17"/>
      <c r="G850" s="18"/>
      <c r="T850" s="9"/>
      <c r="U850" s="9"/>
      <c r="V850" s="9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</row>
    <row r="851" spans="3:67" s="1" customFormat="1" hidden="1">
      <c r="C851" s="14"/>
      <c r="F851" s="17"/>
      <c r="G851" s="18"/>
      <c r="T851" s="9"/>
      <c r="U851" s="9"/>
      <c r="V851" s="9"/>
      <c r="AO851"/>
      <c r="AP851"/>
      <c r="AQ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</row>
    <row r="852" spans="3:67" s="1" customFormat="1" hidden="1">
      <c r="C852" s="14"/>
      <c r="F852" s="17"/>
      <c r="G852" s="18"/>
      <c r="T852" s="9"/>
      <c r="U852" s="9"/>
      <c r="V852" s="9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</row>
    <row r="853" spans="3:67" s="1" customFormat="1" hidden="1">
      <c r="C853" s="14"/>
      <c r="F853" s="17"/>
      <c r="G853" s="18"/>
      <c r="T853" s="9"/>
      <c r="U853" s="9"/>
      <c r="V853" s="9"/>
      <c r="AO853"/>
      <c r="AP853"/>
      <c r="AQ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</row>
    <row r="854" spans="3:67" s="1" customFormat="1" hidden="1">
      <c r="C854" s="14"/>
      <c r="F854" s="17"/>
      <c r="G854" s="18"/>
      <c r="T854" s="9"/>
      <c r="U854" s="9"/>
      <c r="V854" s="9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</row>
    <row r="855" spans="3:67" s="1" customFormat="1" hidden="1">
      <c r="C855" s="14"/>
      <c r="F855" s="17"/>
      <c r="G855" s="18"/>
      <c r="T855" s="9"/>
      <c r="U855" s="9"/>
      <c r="V855" s="9"/>
      <c r="AO855"/>
      <c r="AP855"/>
      <c r="AQ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</row>
    <row r="856" spans="3:67" s="1" customFormat="1" hidden="1">
      <c r="C856" s="14"/>
      <c r="F856" s="17"/>
      <c r="G856" s="18"/>
      <c r="T856" s="9"/>
      <c r="U856" s="9"/>
      <c r="V856" s="9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</row>
    <row r="857" spans="3:67" s="1" customFormat="1" hidden="1">
      <c r="C857" s="14"/>
      <c r="F857" s="17"/>
      <c r="G857" s="18"/>
      <c r="T857" s="9"/>
      <c r="U857" s="9"/>
      <c r="V857" s="9"/>
      <c r="AO857"/>
      <c r="AP857"/>
      <c r="AQ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</row>
    <row r="858" spans="3:67" s="1" customFormat="1" hidden="1">
      <c r="C858" s="14"/>
      <c r="F858" s="17"/>
      <c r="G858" s="18"/>
      <c r="T858" s="9"/>
      <c r="U858" s="9"/>
      <c r="V858" s="9"/>
      <c r="AO858"/>
      <c r="AP858"/>
      <c r="AQ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</row>
    <row r="859" spans="3:67" s="1" customFormat="1" hidden="1">
      <c r="C859" s="14"/>
      <c r="F859" s="17"/>
      <c r="G859" s="18"/>
      <c r="T859" s="9"/>
      <c r="U859" s="9"/>
      <c r="V859" s="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</row>
    <row r="860" spans="3:67" s="1" customFormat="1" hidden="1">
      <c r="C860" s="14"/>
      <c r="F860" s="17"/>
      <c r="G860" s="18"/>
      <c r="T860" s="9"/>
      <c r="U860" s="9"/>
      <c r="V860" s="9"/>
      <c r="AO860"/>
      <c r="AP860"/>
      <c r="AQ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</row>
    <row r="861" spans="3:67" s="1" customFormat="1" hidden="1">
      <c r="C861" s="14"/>
      <c r="F861" s="17"/>
      <c r="G861" s="18"/>
      <c r="T861" s="9"/>
      <c r="U861" s="9"/>
      <c r="V861" s="9"/>
      <c r="AO861"/>
      <c r="AP861"/>
      <c r="AQ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</row>
    <row r="862" spans="3:67" s="1" customFormat="1" hidden="1">
      <c r="C862" s="14"/>
      <c r="F862" s="17"/>
      <c r="G862" s="18"/>
      <c r="T862" s="9"/>
      <c r="U862" s="9"/>
      <c r="V862" s="9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</row>
    <row r="863" spans="3:67" s="1" customFormat="1" hidden="1">
      <c r="C863" s="14"/>
      <c r="F863" s="17"/>
      <c r="G863" s="18"/>
      <c r="T863" s="9"/>
      <c r="U863" s="9"/>
      <c r="V863" s="9"/>
      <c r="AO863"/>
      <c r="AP863"/>
      <c r="AQ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</row>
    <row r="864" spans="3:67" s="1" customFormat="1" hidden="1">
      <c r="C864" s="14"/>
      <c r="F864" s="17"/>
      <c r="G864" s="18"/>
      <c r="T864" s="9"/>
      <c r="U864" s="9"/>
      <c r="V864" s="9"/>
      <c r="AO864"/>
      <c r="AP864"/>
      <c r="AQ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</row>
    <row r="865" spans="3:67" s="1" customFormat="1" hidden="1">
      <c r="C865" s="14"/>
      <c r="F865" s="17"/>
      <c r="G865" s="18"/>
      <c r="T865" s="9"/>
      <c r="U865" s="9"/>
      <c r="V865" s="9"/>
      <c r="AO865"/>
      <c r="AP865"/>
      <c r="AQ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</row>
    <row r="866" spans="3:67" s="1" customFormat="1" hidden="1">
      <c r="C866" s="14"/>
      <c r="F866" s="17"/>
      <c r="G866" s="18"/>
      <c r="T866" s="9"/>
      <c r="U866" s="9"/>
      <c r="V866" s="9"/>
      <c r="AO866"/>
      <c r="AP866"/>
      <c r="AQ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</row>
    <row r="867" spans="3:67" s="1" customFormat="1" hidden="1">
      <c r="C867" s="14"/>
      <c r="F867" s="17"/>
      <c r="G867" s="18"/>
      <c r="T867" s="9"/>
      <c r="U867" s="9"/>
      <c r="V867" s="9"/>
      <c r="AO867"/>
      <c r="AP867"/>
      <c r="AQ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</row>
    <row r="868" spans="3:67" s="1" customFormat="1" hidden="1">
      <c r="C868" s="14"/>
      <c r="F868" s="17"/>
      <c r="G868" s="18"/>
      <c r="T868" s="9"/>
      <c r="U868" s="9"/>
      <c r="V868" s="9"/>
      <c r="AO868"/>
      <c r="AP868"/>
      <c r="AQ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</row>
    <row r="869" spans="3:67" s="1" customFormat="1" hidden="1">
      <c r="C869" s="14"/>
      <c r="F869" s="17"/>
      <c r="G869" s="18"/>
      <c r="T869" s="9"/>
      <c r="U869" s="9"/>
      <c r="V869" s="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</row>
    <row r="870" spans="3:67" s="1" customFormat="1" hidden="1">
      <c r="C870" s="14"/>
      <c r="F870" s="17"/>
      <c r="G870" s="18"/>
      <c r="T870" s="9"/>
      <c r="U870" s="9"/>
      <c r="V870" s="9"/>
      <c r="AO870"/>
      <c r="AP870"/>
      <c r="AQ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</row>
    <row r="871" spans="3:67" s="1" customFormat="1" hidden="1">
      <c r="C871" s="14"/>
      <c r="F871" s="17"/>
      <c r="G871" s="18"/>
      <c r="T871" s="9"/>
      <c r="U871" s="9"/>
      <c r="V871" s="9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</row>
    <row r="872" spans="3:67" s="1" customFormat="1" hidden="1">
      <c r="C872" s="14"/>
      <c r="F872" s="17"/>
      <c r="G872" s="18"/>
      <c r="T872" s="9"/>
      <c r="U872" s="9"/>
      <c r="V872" s="9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</row>
    <row r="873" spans="3:67" s="1" customFormat="1" hidden="1">
      <c r="C873" s="14"/>
      <c r="F873" s="17"/>
      <c r="G873" s="18"/>
      <c r="T873" s="9"/>
      <c r="U873" s="9"/>
      <c r="V873" s="9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</row>
    <row r="874" spans="3:67" s="1" customFormat="1" hidden="1">
      <c r="C874" s="14"/>
      <c r="F874" s="17"/>
      <c r="G874" s="18"/>
      <c r="T874" s="9"/>
      <c r="U874" s="9"/>
      <c r="V874" s="9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</row>
    <row r="875" spans="3:67" s="1" customFormat="1" hidden="1">
      <c r="C875" s="14"/>
      <c r="F875" s="17"/>
      <c r="G875" s="18"/>
      <c r="T875" s="9"/>
      <c r="U875" s="9"/>
      <c r="V875" s="9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</row>
    <row r="876" spans="3:67" s="1" customFormat="1" hidden="1">
      <c r="C876" s="14"/>
      <c r="F876" s="17"/>
      <c r="G876" s="18"/>
      <c r="T876" s="9"/>
      <c r="U876" s="9"/>
      <c r="V876" s="9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</row>
    <row r="877" spans="3:67" s="1" customFormat="1" hidden="1">
      <c r="C877" s="14"/>
      <c r="F877" s="17"/>
      <c r="G877" s="18"/>
      <c r="T877" s="9"/>
      <c r="U877" s="9"/>
      <c r="V877" s="9"/>
      <c r="AO877"/>
      <c r="AP877"/>
      <c r="AQ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</row>
    <row r="878" spans="3:67" s="1" customFormat="1" hidden="1">
      <c r="C878" s="14"/>
      <c r="F878" s="17"/>
      <c r="G878" s="18"/>
      <c r="T878" s="9"/>
      <c r="U878" s="9"/>
      <c r="V878" s="9"/>
      <c r="AO878"/>
      <c r="AP878"/>
      <c r="AQ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</row>
    <row r="879" spans="3:67" s="1" customFormat="1" hidden="1">
      <c r="C879" s="14"/>
      <c r="F879" s="17"/>
      <c r="G879" s="18"/>
      <c r="T879" s="9"/>
      <c r="U879" s="9"/>
      <c r="V879" s="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</row>
    <row r="880" spans="3:67" s="1" customFormat="1" hidden="1">
      <c r="C880" s="14"/>
      <c r="F880" s="17"/>
      <c r="G880" s="18"/>
      <c r="T880" s="9"/>
      <c r="U880" s="9"/>
      <c r="V880" s="9"/>
      <c r="AO880"/>
      <c r="AP880"/>
      <c r="AQ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</row>
    <row r="881" spans="3:67" s="1" customFormat="1" hidden="1">
      <c r="C881" s="14"/>
      <c r="F881" s="17"/>
      <c r="G881" s="18"/>
      <c r="T881" s="9"/>
      <c r="U881" s="9"/>
      <c r="V881" s="9"/>
      <c r="AO881"/>
      <c r="AP881"/>
      <c r="AQ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</row>
    <row r="882" spans="3:67" s="1" customFormat="1" hidden="1">
      <c r="C882" s="14"/>
      <c r="F882" s="17"/>
      <c r="G882" s="18"/>
      <c r="T882" s="9"/>
      <c r="U882" s="9"/>
      <c r="V882" s="9"/>
      <c r="AO882"/>
      <c r="AP882"/>
      <c r="AQ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</row>
    <row r="883" spans="3:67" s="1" customFormat="1" hidden="1">
      <c r="C883" s="14"/>
      <c r="F883" s="17"/>
      <c r="G883" s="18"/>
      <c r="T883" s="9"/>
      <c r="U883" s="9"/>
      <c r="V883" s="9"/>
      <c r="AO883"/>
      <c r="AP883"/>
      <c r="AQ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</row>
    <row r="884" spans="3:67" s="1" customFormat="1" hidden="1">
      <c r="C884" s="14"/>
      <c r="F884" s="17"/>
      <c r="G884" s="18"/>
      <c r="T884" s="9"/>
      <c r="U884" s="9"/>
      <c r="V884" s="9"/>
      <c r="AO884"/>
      <c r="AP884"/>
      <c r="AQ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</row>
    <row r="885" spans="3:67" s="1" customFormat="1" hidden="1">
      <c r="C885" s="14"/>
      <c r="F885" s="17"/>
      <c r="G885" s="18"/>
      <c r="T885" s="9"/>
      <c r="U885" s="9"/>
      <c r="V885" s="9"/>
      <c r="AO885"/>
      <c r="AP885"/>
      <c r="AQ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</row>
    <row r="886" spans="3:67" s="1" customFormat="1" hidden="1">
      <c r="C886" s="14"/>
      <c r="F886" s="17"/>
      <c r="G886" s="18"/>
      <c r="T886" s="9"/>
      <c r="U886" s="9"/>
      <c r="V886" s="9"/>
      <c r="AO886"/>
      <c r="AP886"/>
      <c r="AQ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</row>
    <row r="887" spans="3:67" s="1" customFormat="1" hidden="1">
      <c r="C887" s="14"/>
      <c r="F887" s="17"/>
      <c r="G887" s="18"/>
      <c r="T887" s="9"/>
      <c r="U887" s="9"/>
      <c r="V887" s="9"/>
      <c r="AO887"/>
      <c r="AP887"/>
      <c r="AQ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</row>
    <row r="888" spans="3:67" s="1" customFormat="1" hidden="1">
      <c r="C888" s="14"/>
      <c r="F888" s="17"/>
      <c r="G888" s="18"/>
      <c r="T888" s="9"/>
      <c r="U888" s="9"/>
      <c r="V888" s="9"/>
      <c r="AO888"/>
      <c r="AP888"/>
      <c r="AQ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</row>
    <row r="889" spans="3:67" s="1" customFormat="1" hidden="1">
      <c r="C889" s="14"/>
      <c r="F889" s="17"/>
      <c r="G889" s="18"/>
      <c r="T889" s="9"/>
      <c r="U889" s="9"/>
      <c r="V889" s="9"/>
      <c r="AO889"/>
      <c r="AP889"/>
      <c r="AQ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</row>
    <row r="890" spans="3:67" s="1" customFormat="1" hidden="1">
      <c r="C890" s="14"/>
      <c r="F890" s="17"/>
      <c r="G890" s="18"/>
      <c r="T890" s="9"/>
      <c r="U890" s="9"/>
      <c r="V890" s="9"/>
      <c r="AO890"/>
      <c r="AP890"/>
      <c r="AQ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</row>
    <row r="891" spans="3:67" s="1" customFormat="1" hidden="1">
      <c r="C891" s="14"/>
      <c r="F891" s="17"/>
      <c r="G891" s="18"/>
      <c r="T891" s="9"/>
      <c r="U891" s="9"/>
      <c r="V891" s="9"/>
      <c r="AO891"/>
      <c r="AP891"/>
      <c r="AQ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</row>
    <row r="892" spans="3:67" s="1" customFormat="1" hidden="1">
      <c r="C892" s="14"/>
      <c r="F892" s="17"/>
      <c r="G892" s="18"/>
      <c r="T892" s="9"/>
      <c r="U892" s="9"/>
      <c r="V892" s="9"/>
      <c r="AO892"/>
      <c r="AP892"/>
      <c r="AQ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</row>
    <row r="893" spans="3:67" s="1" customFormat="1" hidden="1">
      <c r="C893" s="14"/>
      <c r="F893" s="17"/>
      <c r="G893" s="18"/>
      <c r="T893" s="9"/>
      <c r="U893" s="9"/>
      <c r="V893" s="9"/>
      <c r="AO893"/>
      <c r="AP893"/>
      <c r="AQ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</row>
    <row r="894" spans="3:67" s="1" customFormat="1" hidden="1">
      <c r="C894" s="14"/>
      <c r="F894" s="17"/>
      <c r="G894" s="18"/>
      <c r="T894" s="9"/>
      <c r="U894" s="9"/>
      <c r="V894" s="9"/>
      <c r="AO894"/>
      <c r="AP894"/>
      <c r="AQ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</row>
    <row r="895" spans="3:67" s="1" customFormat="1" hidden="1">
      <c r="C895" s="14"/>
      <c r="F895" s="17"/>
      <c r="G895" s="18"/>
      <c r="T895" s="9"/>
      <c r="U895" s="9"/>
      <c r="V895" s="9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</row>
    <row r="896" spans="3:67" s="1" customFormat="1" hidden="1">
      <c r="C896" s="14"/>
      <c r="F896" s="17"/>
      <c r="G896" s="18"/>
      <c r="T896" s="9"/>
      <c r="U896" s="9"/>
      <c r="V896" s="9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</row>
    <row r="897" spans="3:67" s="1" customFormat="1" hidden="1">
      <c r="C897" s="14"/>
      <c r="F897" s="17"/>
      <c r="G897" s="18"/>
      <c r="T897" s="9"/>
      <c r="U897" s="9"/>
      <c r="V897" s="9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</row>
    <row r="898" spans="3:67" s="1" customFormat="1" hidden="1">
      <c r="C898" s="14"/>
      <c r="F898" s="17"/>
      <c r="G898" s="18"/>
      <c r="T898" s="9"/>
      <c r="U898" s="9"/>
      <c r="V898" s="9"/>
      <c r="AO898"/>
      <c r="AP898"/>
      <c r="AQ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</row>
    <row r="899" spans="3:67" s="1" customFormat="1" hidden="1">
      <c r="C899" s="14"/>
      <c r="F899" s="17"/>
      <c r="G899" s="18"/>
      <c r="T899" s="9"/>
      <c r="U899" s="9"/>
      <c r="V899" s="9"/>
      <c r="AO899"/>
      <c r="AP899"/>
      <c r="AQ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</row>
    <row r="900" spans="3:67" s="1" customFormat="1" hidden="1">
      <c r="C900" s="14"/>
      <c r="F900" s="17"/>
      <c r="G900" s="18"/>
      <c r="T900" s="9"/>
      <c r="U900" s="9"/>
      <c r="V900" s="9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</row>
    <row r="901" spans="3:67" s="1" customFormat="1" hidden="1">
      <c r="C901" s="14"/>
      <c r="F901" s="17"/>
      <c r="G901" s="18"/>
      <c r="T901" s="9"/>
      <c r="U901" s="9"/>
      <c r="V901" s="9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</row>
    <row r="902" spans="3:67" s="1" customFormat="1" hidden="1">
      <c r="C902" s="14"/>
      <c r="F902" s="17"/>
      <c r="G902" s="18"/>
      <c r="T902" s="9"/>
      <c r="U902" s="9"/>
      <c r="V902" s="9"/>
      <c r="AO902"/>
      <c r="AP902"/>
      <c r="AQ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</row>
    <row r="903" spans="3:67" s="1" customFormat="1" hidden="1">
      <c r="C903" s="14"/>
      <c r="F903" s="17"/>
      <c r="G903" s="18"/>
      <c r="T903" s="9"/>
      <c r="U903" s="9"/>
      <c r="V903" s="9"/>
      <c r="AO903"/>
      <c r="AP903"/>
      <c r="AQ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</row>
    <row r="904" spans="3:67" s="1" customFormat="1" hidden="1">
      <c r="C904" s="14"/>
      <c r="F904" s="17"/>
      <c r="G904" s="18"/>
      <c r="T904" s="9"/>
      <c r="U904" s="9"/>
      <c r="V904" s="9"/>
      <c r="AO904"/>
      <c r="AP904"/>
      <c r="AQ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</row>
    <row r="905" spans="3:67" s="1" customFormat="1" hidden="1">
      <c r="C905" s="14"/>
      <c r="F905" s="17"/>
      <c r="G905" s="18"/>
      <c r="T905" s="9"/>
      <c r="U905" s="9"/>
      <c r="V905" s="9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</row>
    <row r="906" spans="3:67" s="1" customFormat="1" hidden="1">
      <c r="C906" s="14"/>
      <c r="F906" s="17"/>
      <c r="G906" s="18"/>
      <c r="T906" s="9"/>
      <c r="U906" s="9"/>
      <c r="V906" s="9"/>
      <c r="AO906"/>
      <c r="AP906"/>
      <c r="AQ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</row>
    <row r="907" spans="3:67" s="1" customFormat="1" hidden="1">
      <c r="C907" s="14"/>
      <c r="F907" s="17"/>
      <c r="G907" s="18"/>
      <c r="T907" s="9"/>
      <c r="U907" s="9"/>
      <c r="V907" s="9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</row>
    <row r="908" spans="3:67" s="1" customFormat="1" hidden="1">
      <c r="C908" s="14"/>
      <c r="F908" s="17"/>
      <c r="G908" s="18"/>
      <c r="T908" s="9"/>
      <c r="U908" s="9"/>
      <c r="V908" s="9"/>
      <c r="AO908"/>
      <c r="AP908"/>
      <c r="AQ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</row>
    <row r="909" spans="3:67" s="1" customFormat="1" hidden="1">
      <c r="C909" s="14"/>
      <c r="F909" s="17"/>
      <c r="G909" s="18"/>
      <c r="T909" s="9"/>
      <c r="U909" s="9"/>
      <c r="V909" s="9"/>
      <c r="AO909"/>
      <c r="AP909"/>
      <c r="AQ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</row>
    <row r="910" spans="3:67" s="1" customFormat="1" hidden="1">
      <c r="C910" s="14"/>
      <c r="F910" s="17"/>
      <c r="G910" s="18"/>
      <c r="T910" s="9"/>
      <c r="U910" s="9"/>
      <c r="V910" s="9"/>
      <c r="AO910"/>
      <c r="AP910"/>
      <c r="AQ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</row>
    <row r="911" spans="3:67" s="1" customFormat="1" hidden="1">
      <c r="C911" s="14"/>
      <c r="F911" s="17"/>
      <c r="G911" s="18"/>
      <c r="T911" s="9"/>
      <c r="U911" s="9"/>
      <c r="V911" s="9"/>
      <c r="AO911"/>
      <c r="AP911"/>
      <c r="AQ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</row>
    <row r="912" spans="3:67" s="1" customFormat="1" hidden="1">
      <c r="C912" s="14"/>
      <c r="F912" s="17"/>
      <c r="G912" s="18"/>
      <c r="T912" s="9"/>
      <c r="U912" s="9"/>
      <c r="V912" s="9"/>
      <c r="AO912"/>
      <c r="AP912"/>
      <c r="AQ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</row>
    <row r="913" spans="3:67" s="1" customFormat="1" hidden="1">
      <c r="C913" s="14"/>
      <c r="F913" s="17"/>
      <c r="G913" s="18"/>
      <c r="T913" s="9"/>
      <c r="U913" s="9"/>
      <c r="V913" s="9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</row>
    <row r="914" spans="3:67" s="1" customFormat="1" hidden="1">
      <c r="C914" s="14"/>
      <c r="F914" s="17"/>
      <c r="G914" s="18"/>
      <c r="T914" s="9"/>
      <c r="U914" s="9"/>
      <c r="V914" s="9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</row>
    <row r="915" spans="3:67" s="1" customFormat="1" hidden="1">
      <c r="C915" s="14"/>
      <c r="F915" s="17"/>
      <c r="G915" s="18"/>
      <c r="T915" s="9"/>
      <c r="U915" s="9"/>
      <c r="V915" s="9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</row>
    <row r="916" spans="3:67" s="1" customFormat="1" hidden="1">
      <c r="C916" s="14"/>
      <c r="F916" s="17"/>
      <c r="G916" s="18"/>
      <c r="T916" s="9"/>
      <c r="U916" s="9"/>
      <c r="V916" s="9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</row>
    <row r="917" spans="3:67" s="1" customFormat="1" hidden="1">
      <c r="C917" s="14"/>
      <c r="F917" s="17"/>
      <c r="G917" s="18"/>
      <c r="T917" s="9"/>
      <c r="U917" s="9"/>
      <c r="V917" s="9"/>
      <c r="AO917"/>
      <c r="AP917"/>
      <c r="AQ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</row>
    <row r="918" spans="3:67" s="1" customFormat="1" hidden="1">
      <c r="C918" s="14"/>
      <c r="F918" s="17"/>
      <c r="G918" s="18"/>
      <c r="T918" s="9"/>
      <c r="U918" s="9"/>
      <c r="V918" s="9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</row>
    <row r="919" spans="3:67" s="1" customFormat="1" hidden="1">
      <c r="C919" s="14"/>
      <c r="F919" s="17"/>
      <c r="G919" s="18"/>
      <c r="T919" s="9"/>
      <c r="U919" s="9"/>
      <c r="V919" s="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</row>
    <row r="920" spans="3:67" s="1" customFormat="1" hidden="1">
      <c r="C920" s="14"/>
      <c r="F920" s="17"/>
      <c r="G920" s="18"/>
      <c r="T920" s="9"/>
      <c r="U920" s="9"/>
      <c r="V920" s="9"/>
      <c r="AO920"/>
      <c r="AP920"/>
      <c r="AQ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</row>
    <row r="921" spans="3:67" s="1" customFormat="1" hidden="1">
      <c r="C921" s="14"/>
      <c r="F921" s="17"/>
      <c r="G921" s="18"/>
      <c r="T921" s="9"/>
      <c r="U921" s="9"/>
      <c r="V921" s="9"/>
      <c r="AO921"/>
      <c r="AP921"/>
      <c r="AQ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</row>
    <row r="922" spans="3:67" s="1" customFormat="1" hidden="1">
      <c r="C922" s="14"/>
      <c r="F922" s="17"/>
      <c r="G922" s="18"/>
      <c r="T922" s="9"/>
      <c r="U922" s="9"/>
      <c r="V922" s="9"/>
      <c r="AO922"/>
      <c r="AP922"/>
      <c r="AQ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</row>
    <row r="923" spans="3:67" s="1" customFormat="1" hidden="1">
      <c r="C923" s="14"/>
      <c r="F923" s="17"/>
      <c r="G923" s="18"/>
      <c r="T923" s="9"/>
      <c r="U923" s="9"/>
      <c r="V923" s="9"/>
      <c r="AO923"/>
      <c r="AP923"/>
      <c r="AQ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</row>
    <row r="924" spans="3:67" s="1" customFormat="1" hidden="1">
      <c r="C924" s="14"/>
      <c r="F924" s="17"/>
      <c r="G924" s="18"/>
      <c r="T924" s="9"/>
      <c r="U924" s="9"/>
      <c r="V924" s="9"/>
      <c r="AO924"/>
      <c r="AP924"/>
      <c r="AQ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</row>
    <row r="925" spans="3:67" s="1" customFormat="1" hidden="1">
      <c r="C925" s="14"/>
      <c r="F925" s="17"/>
      <c r="G925" s="18"/>
      <c r="T925" s="9"/>
      <c r="U925" s="9"/>
      <c r="V925" s="9"/>
      <c r="AO925"/>
      <c r="AP925"/>
      <c r="AQ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</row>
    <row r="926" spans="3:67" s="1" customFormat="1" hidden="1">
      <c r="C926" s="14"/>
      <c r="F926" s="17"/>
      <c r="G926" s="18"/>
      <c r="T926" s="9"/>
      <c r="U926" s="9"/>
      <c r="V926" s="9"/>
      <c r="AO926"/>
      <c r="AP926"/>
      <c r="AQ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</row>
    <row r="927" spans="3:67" s="1" customFormat="1" hidden="1">
      <c r="C927" s="14"/>
      <c r="F927" s="17"/>
      <c r="G927" s="18"/>
      <c r="T927" s="9"/>
      <c r="U927" s="9"/>
      <c r="V927" s="9"/>
      <c r="AO927"/>
      <c r="AP927"/>
      <c r="AQ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</row>
    <row r="928" spans="3:67" s="1" customFormat="1" hidden="1">
      <c r="C928" s="14"/>
      <c r="F928" s="17"/>
      <c r="G928" s="18"/>
      <c r="T928" s="9"/>
      <c r="U928" s="9"/>
      <c r="V928" s="9"/>
      <c r="AO928"/>
      <c r="AP928"/>
      <c r="AQ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</row>
    <row r="929" spans="3:67" s="1" customFormat="1" hidden="1">
      <c r="C929" s="14"/>
      <c r="F929" s="17"/>
      <c r="G929" s="18"/>
      <c r="T929" s="9"/>
      <c r="U929" s="9"/>
      <c r="V929" s="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</row>
    <row r="930" spans="3:67" s="1" customFormat="1" hidden="1">
      <c r="C930" s="14"/>
      <c r="F930" s="17"/>
      <c r="G930" s="18"/>
      <c r="T930" s="9"/>
      <c r="U930" s="9"/>
      <c r="V930" s="9"/>
      <c r="AO930"/>
      <c r="AP930"/>
      <c r="AQ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</row>
    <row r="931" spans="3:67" s="1" customFormat="1" hidden="1">
      <c r="C931" s="14"/>
      <c r="F931" s="17"/>
      <c r="G931" s="18"/>
      <c r="T931" s="9"/>
      <c r="U931" s="9"/>
      <c r="V931" s="9"/>
      <c r="AO931"/>
      <c r="AP931"/>
      <c r="AQ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</row>
    <row r="932" spans="3:67" s="1" customFormat="1" hidden="1">
      <c r="C932" s="14"/>
      <c r="F932" s="17"/>
      <c r="G932" s="18"/>
      <c r="T932" s="9"/>
      <c r="U932" s="9"/>
      <c r="V932" s="9"/>
      <c r="AO932"/>
      <c r="AP932"/>
      <c r="AQ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</row>
    <row r="933" spans="3:67" s="1" customFormat="1" hidden="1">
      <c r="C933" s="14"/>
      <c r="F933" s="17"/>
      <c r="G933" s="18"/>
      <c r="T933" s="9"/>
      <c r="U933" s="9"/>
      <c r="V933" s="9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</row>
    <row r="934" spans="3:67" s="1" customFormat="1" hidden="1">
      <c r="C934" s="14"/>
      <c r="F934" s="17"/>
      <c r="G934" s="18"/>
      <c r="T934" s="9"/>
      <c r="U934" s="9"/>
      <c r="V934" s="9"/>
      <c r="AO934"/>
      <c r="AP934"/>
      <c r="AQ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</row>
    <row r="935" spans="3:67" s="1" customFormat="1" hidden="1">
      <c r="C935" s="14"/>
      <c r="F935" s="17"/>
      <c r="G935" s="18"/>
      <c r="T935" s="9"/>
      <c r="U935" s="9"/>
      <c r="V935" s="9"/>
      <c r="AO935"/>
      <c r="AP935"/>
      <c r="AQ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</row>
    <row r="936" spans="3:67" s="1" customFormat="1" hidden="1">
      <c r="C936" s="14"/>
      <c r="F936" s="17"/>
      <c r="G936" s="18"/>
      <c r="T936" s="9"/>
      <c r="U936" s="9"/>
      <c r="V936" s="9"/>
      <c r="AO936"/>
      <c r="AP936"/>
      <c r="AQ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</row>
    <row r="937" spans="3:67" s="1" customFormat="1" hidden="1">
      <c r="C937" s="14"/>
      <c r="F937" s="17"/>
      <c r="G937" s="18"/>
      <c r="T937" s="9"/>
      <c r="U937" s="9"/>
      <c r="V937" s="9"/>
      <c r="AO937"/>
      <c r="AP937"/>
      <c r="AQ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</row>
    <row r="938" spans="3:67" s="1" customFormat="1" hidden="1">
      <c r="C938" s="14"/>
      <c r="F938" s="17"/>
      <c r="G938" s="18"/>
      <c r="T938" s="9"/>
      <c r="U938" s="9"/>
      <c r="V938" s="9"/>
      <c r="AO938"/>
      <c r="AP938"/>
      <c r="AQ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</row>
    <row r="939" spans="3:67" s="1" customFormat="1" hidden="1">
      <c r="C939" s="14"/>
      <c r="F939" s="17"/>
      <c r="G939" s="18"/>
      <c r="T939" s="9"/>
      <c r="U939" s="9"/>
      <c r="V939" s="9"/>
      <c r="AO939"/>
      <c r="AP939"/>
      <c r="AQ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</row>
    <row r="940" spans="3:67" s="1" customFormat="1" hidden="1">
      <c r="C940" s="14"/>
      <c r="F940" s="17"/>
      <c r="G940" s="18"/>
      <c r="T940" s="9"/>
      <c r="U940" s="9"/>
      <c r="V940" s="9"/>
      <c r="AO940"/>
      <c r="AP940"/>
      <c r="AQ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</row>
    <row r="941" spans="3:67" s="1" customFormat="1" hidden="1">
      <c r="C941" s="14"/>
      <c r="F941" s="17"/>
      <c r="G941" s="18"/>
      <c r="T941" s="9"/>
      <c r="U941" s="9"/>
      <c r="V941" s="9"/>
      <c r="AO941"/>
      <c r="AP941"/>
      <c r="AQ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</row>
    <row r="942" spans="3:67" s="1" customFormat="1" hidden="1">
      <c r="C942" s="14"/>
      <c r="F942" s="17"/>
      <c r="G942" s="18"/>
      <c r="T942" s="9"/>
      <c r="U942" s="9"/>
      <c r="V942" s="9"/>
      <c r="AO942"/>
      <c r="AP942"/>
      <c r="AQ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</row>
    <row r="943" spans="3:67" s="1" customFormat="1" hidden="1">
      <c r="C943" s="14"/>
      <c r="F943" s="17"/>
      <c r="G943" s="18"/>
      <c r="T943" s="9"/>
      <c r="U943" s="9"/>
      <c r="V943" s="9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</row>
    <row r="944" spans="3:67" s="1" customFormat="1" hidden="1">
      <c r="C944" s="14"/>
      <c r="F944" s="17"/>
      <c r="G944" s="18"/>
      <c r="T944" s="9"/>
      <c r="U944" s="9"/>
      <c r="V944" s="9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</row>
    <row r="945" spans="3:67" s="1" customFormat="1" hidden="1">
      <c r="C945" s="14"/>
      <c r="F945" s="17"/>
      <c r="G945" s="18"/>
      <c r="T945" s="9"/>
      <c r="U945" s="9"/>
      <c r="V945" s="9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</row>
    <row r="946" spans="3:67" s="1" customFormat="1" hidden="1">
      <c r="C946" s="14"/>
      <c r="F946" s="17"/>
      <c r="G946" s="18"/>
      <c r="T946" s="9"/>
      <c r="U946" s="9"/>
      <c r="V946" s="9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</row>
    <row r="947" spans="3:67" s="1" customFormat="1" hidden="1">
      <c r="C947" s="14"/>
      <c r="F947" s="17"/>
      <c r="G947" s="18"/>
      <c r="T947" s="9"/>
      <c r="U947" s="9"/>
      <c r="V947" s="9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</row>
    <row r="948" spans="3:67" s="1" customFormat="1" hidden="1">
      <c r="C948" s="14"/>
      <c r="F948" s="17"/>
      <c r="G948" s="18"/>
      <c r="T948" s="9"/>
      <c r="U948" s="9"/>
      <c r="V948" s="9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</row>
    <row r="949" spans="3:67" s="1" customFormat="1" hidden="1">
      <c r="C949" s="14"/>
      <c r="F949" s="17"/>
      <c r="G949" s="18"/>
      <c r="T949" s="9"/>
      <c r="U949" s="9"/>
      <c r="V949" s="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</row>
    <row r="950" spans="3:67" s="1" customFormat="1" hidden="1">
      <c r="C950" s="14"/>
      <c r="F950" s="17"/>
      <c r="G950" s="18"/>
      <c r="T950" s="9"/>
      <c r="U950" s="9"/>
      <c r="V950" s="9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</row>
    <row r="951" spans="3:67" s="1" customFormat="1" hidden="1">
      <c r="C951" s="14"/>
      <c r="F951" s="17"/>
      <c r="G951" s="18"/>
      <c r="T951" s="9"/>
      <c r="U951" s="9"/>
      <c r="V951" s="9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</row>
    <row r="952" spans="3:67" s="1" customFormat="1" hidden="1">
      <c r="C952" s="14"/>
      <c r="F952" s="17"/>
      <c r="G952" s="18"/>
      <c r="T952" s="9"/>
      <c r="U952" s="9"/>
      <c r="V952" s="9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</row>
    <row r="953" spans="3:67" s="1" customFormat="1" hidden="1">
      <c r="C953" s="14"/>
      <c r="F953" s="17"/>
      <c r="G953" s="18"/>
      <c r="T953" s="9"/>
      <c r="U953" s="9"/>
      <c r="V953" s="9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</row>
    <row r="954" spans="3:67" s="1" customFormat="1" hidden="1">
      <c r="C954" s="14"/>
      <c r="F954" s="17"/>
      <c r="G954" s="18"/>
      <c r="T954" s="9"/>
      <c r="U954" s="9"/>
      <c r="V954" s="9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</row>
    <row r="955" spans="3:67" s="1" customFormat="1" hidden="1">
      <c r="C955" s="14"/>
      <c r="F955" s="17"/>
      <c r="G955" s="18"/>
      <c r="T955" s="9"/>
      <c r="U955" s="9"/>
      <c r="V955" s="9"/>
      <c r="AO955"/>
      <c r="AP955"/>
      <c r="AQ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</row>
    <row r="956" spans="3:67" s="1" customFormat="1" hidden="1">
      <c r="C956" s="14"/>
      <c r="F956" s="17"/>
      <c r="G956" s="18"/>
      <c r="T956" s="9"/>
      <c r="U956" s="9"/>
      <c r="V956" s="9"/>
      <c r="AO956"/>
      <c r="AP956"/>
      <c r="AQ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</row>
    <row r="957" spans="3:67" s="1" customFormat="1" hidden="1">
      <c r="C957" s="14"/>
      <c r="F957" s="17"/>
      <c r="G957" s="18"/>
      <c r="T957" s="9"/>
      <c r="U957" s="9"/>
      <c r="V957" s="9"/>
      <c r="AO957"/>
      <c r="AP957"/>
      <c r="AQ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</row>
    <row r="958" spans="3:67" s="1" customFormat="1" hidden="1">
      <c r="C958" s="14"/>
      <c r="F958" s="17"/>
      <c r="G958" s="18"/>
      <c r="T958" s="9"/>
      <c r="U958" s="9"/>
      <c r="V958" s="9"/>
      <c r="AO958"/>
      <c r="AP958"/>
      <c r="AQ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</row>
    <row r="959" spans="3:67" s="1" customFormat="1" hidden="1">
      <c r="C959" s="14"/>
      <c r="F959" s="17"/>
      <c r="G959" s="18"/>
      <c r="T959" s="9"/>
      <c r="U959" s="9"/>
      <c r="V959" s="9"/>
      <c r="AO959"/>
      <c r="AP959"/>
      <c r="AQ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</row>
    <row r="960" spans="3:67" s="1" customFormat="1" hidden="1">
      <c r="C960" s="14"/>
      <c r="F960" s="17"/>
      <c r="G960" s="18"/>
      <c r="T960" s="9"/>
      <c r="U960" s="9"/>
      <c r="V960" s="9"/>
      <c r="AO960"/>
      <c r="AP960"/>
      <c r="AQ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</row>
    <row r="961" spans="3:67" s="1" customFormat="1" hidden="1">
      <c r="C961" s="14"/>
      <c r="F961" s="17"/>
      <c r="G961" s="18"/>
      <c r="T961" s="9"/>
      <c r="U961" s="9"/>
      <c r="V961" s="9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</row>
    <row r="962" spans="3:67" s="1" customFormat="1" hidden="1">
      <c r="C962" s="14"/>
      <c r="F962" s="17"/>
      <c r="G962" s="18"/>
      <c r="T962" s="9"/>
      <c r="U962" s="9"/>
      <c r="V962" s="9"/>
      <c r="AO962"/>
      <c r="AP962"/>
      <c r="AQ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</row>
    <row r="963" spans="3:67" s="1" customFormat="1" hidden="1">
      <c r="C963" s="14"/>
      <c r="F963" s="17"/>
      <c r="G963" s="18"/>
      <c r="T963" s="9"/>
      <c r="U963" s="9"/>
      <c r="V963" s="9"/>
      <c r="AO963"/>
      <c r="AP963"/>
      <c r="AQ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</row>
    <row r="964" spans="3:67" s="1" customFormat="1" hidden="1">
      <c r="C964" s="14"/>
      <c r="F964" s="17"/>
      <c r="G964" s="18"/>
      <c r="T964" s="9"/>
      <c r="U964" s="9"/>
      <c r="V964" s="9"/>
      <c r="AO964"/>
      <c r="AP964"/>
      <c r="AQ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</row>
    <row r="965" spans="3:67" s="1" customFormat="1" hidden="1">
      <c r="C965" s="14"/>
      <c r="F965" s="17"/>
      <c r="G965" s="18"/>
      <c r="T965" s="9"/>
      <c r="U965" s="9"/>
      <c r="V965" s="9"/>
      <c r="AO965"/>
      <c r="AP965"/>
      <c r="AQ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</row>
    <row r="966" spans="3:67" s="1" customFormat="1" hidden="1">
      <c r="C966" s="14"/>
      <c r="F966" s="17"/>
      <c r="G966" s="18"/>
      <c r="T966" s="9"/>
      <c r="U966" s="9"/>
      <c r="V966" s="9"/>
      <c r="AO966"/>
      <c r="AP966"/>
      <c r="AQ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</row>
    <row r="967" spans="3:67" s="1" customFormat="1" hidden="1">
      <c r="C967" s="14"/>
      <c r="F967" s="17"/>
      <c r="G967" s="18"/>
      <c r="T967" s="9"/>
      <c r="U967" s="9"/>
      <c r="V967" s="9"/>
      <c r="AO967"/>
      <c r="AP967"/>
      <c r="AQ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</row>
    <row r="968" spans="3:67" s="1" customFormat="1" hidden="1">
      <c r="C968" s="14"/>
      <c r="F968" s="17"/>
      <c r="G968" s="18"/>
      <c r="T968" s="9"/>
      <c r="U968" s="9"/>
      <c r="V968" s="9"/>
      <c r="AO968"/>
      <c r="AP968"/>
      <c r="AQ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</row>
    <row r="969" spans="3:67" s="1" customFormat="1" hidden="1">
      <c r="C969" s="14"/>
      <c r="F969" s="17"/>
      <c r="G969" s="18"/>
      <c r="T969" s="9"/>
      <c r="U969" s="9"/>
      <c r="V969" s="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</row>
    <row r="970" spans="3:67" s="1" customFormat="1" hidden="1">
      <c r="C970" s="14"/>
      <c r="F970" s="17"/>
      <c r="G970" s="18"/>
      <c r="T970" s="9"/>
      <c r="U970" s="9"/>
      <c r="V970" s="9"/>
      <c r="AO970"/>
      <c r="AP970"/>
      <c r="AQ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</row>
    <row r="971" spans="3:67" s="1" customFormat="1" hidden="1">
      <c r="C971" s="14"/>
      <c r="F971" s="17"/>
      <c r="G971" s="18"/>
      <c r="T971" s="9"/>
      <c r="U971" s="9"/>
      <c r="V971" s="9"/>
      <c r="AO971"/>
      <c r="AP971"/>
      <c r="AQ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</row>
    <row r="972" spans="3:67" s="1" customFormat="1" hidden="1">
      <c r="C972" s="14"/>
      <c r="F972" s="17"/>
      <c r="G972" s="18"/>
      <c r="T972" s="9"/>
      <c r="U972" s="9"/>
      <c r="V972" s="9"/>
      <c r="AO972"/>
      <c r="AP972"/>
      <c r="AQ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</row>
    <row r="973" spans="3:67" s="1" customFormat="1" hidden="1">
      <c r="C973" s="14"/>
      <c r="F973" s="17"/>
      <c r="G973" s="18"/>
      <c r="T973" s="9"/>
      <c r="U973" s="9"/>
      <c r="V973" s="9"/>
      <c r="AO973"/>
      <c r="AP973"/>
      <c r="AQ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</row>
    <row r="974" spans="3:67" s="1" customFormat="1" hidden="1">
      <c r="C974" s="14"/>
      <c r="F974" s="17"/>
      <c r="G974" s="18"/>
      <c r="T974" s="9"/>
      <c r="U974" s="9"/>
      <c r="V974" s="9"/>
      <c r="AO974"/>
      <c r="AP974"/>
      <c r="AQ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</row>
    <row r="975" spans="3:67" s="1" customFormat="1" hidden="1">
      <c r="C975" s="14"/>
      <c r="F975" s="17"/>
      <c r="G975" s="18"/>
      <c r="T975" s="9"/>
      <c r="U975" s="9"/>
      <c r="V975" s="9"/>
      <c r="AO975"/>
      <c r="AP975"/>
      <c r="AQ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</row>
    <row r="976" spans="3:67" s="1" customFormat="1" hidden="1">
      <c r="C976" s="14"/>
      <c r="F976" s="17"/>
      <c r="G976" s="18"/>
      <c r="T976" s="9"/>
      <c r="U976" s="9"/>
      <c r="V976" s="9"/>
      <c r="AO976"/>
      <c r="AP976"/>
      <c r="AQ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</row>
    <row r="977" spans="3:67" s="1" customFormat="1" hidden="1">
      <c r="C977" s="14"/>
      <c r="F977" s="17"/>
      <c r="G977" s="18"/>
      <c r="T977" s="9"/>
      <c r="U977" s="9"/>
      <c r="V977" s="9"/>
      <c r="AO977"/>
      <c r="AP977"/>
      <c r="AQ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</row>
    <row r="978" spans="3:67" s="1" customFormat="1" hidden="1">
      <c r="C978" s="14"/>
      <c r="F978" s="17"/>
      <c r="G978" s="18"/>
      <c r="T978" s="9"/>
      <c r="U978" s="9"/>
      <c r="V978" s="9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</row>
    <row r="979" spans="3:67" s="1" customFormat="1" hidden="1">
      <c r="C979" s="14"/>
      <c r="F979" s="17"/>
      <c r="G979" s="18"/>
      <c r="T979" s="9"/>
      <c r="U979" s="9"/>
      <c r="V979" s="9"/>
      <c r="AO979"/>
      <c r="AP979"/>
      <c r="AQ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</row>
    <row r="980" spans="3:67" s="1" customFormat="1" hidden="1">
      <c r="C980" s="14"/>
      <c r="F980" s="17"/>
      <c r="G980" s="18"/>
      <c r="T980" s="9"/>
      <c r="U980" s="9"/>
      <c r="V980" s="9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</row>
    <row r="981" spans="3:67" s="1" customFormat="1" hidden="1">
      <c r="C981" s="14"/>
      <c r="F981" s="17"/>
      <c r="G981" s="18"/>
      <c r="T981" s="9"/>
      <c r="U981" s="9"/>
      <c r="V981" s="9"/>
      <c r="AO981"/>
      <c r="AP981"/>
      <c r="AQ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</row>
    <row r="982" spans="3:67" s="1" customFormat="1" hidden="1">
      <c r="C982" s="14"/>
      <c r="F982" s="17"/>
      <c r="G982" s="18"/>
      <c r="T982" s="9"/>
      <c r="U982" s="9"/>
      <c r="V982" s="9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</row>
    <row r="983" spans="3:67" s="1" customFormat="1" hidden="1">
      <c r="C983" s="14"/>
      <c r="F983" s="17"/>
      <c r="G983" s="18"/>
      <c r="T983" s="9"/>
      <c r="U983" s="9"/>
      <c r="V983" s="9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</row>
    <row r="984" spans="3:67" s="1" customFormat="1" hidden="1">
      <c r="C984" s="14"/>
      <c r="F984" s="17"/>
      <c r="G984" s="18"/>
      <c r="T984" s="9"/>
      <c r="U984" s="9"/>
      <c r="V984" s="9"/>
      <c r="AO984"/>
      <c r="AP984"/>
      <c r="AQ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</row>
    <row r="985" spans="3:67" s="1" customFormat="1" hidden="1">
      <c r="C985" s="14"/>
      <c r="F985" s="17"/>
      <c r="G985" s="18"/>
      <c r="T985" s="9"/>
      <c r="U985" s="9"/>
      <c r="V985" s="9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</row>
    <row r="986" spans="3:67" s="1" customFormat="1" hidden="1">
      <c r="C986" s="14"/>
      <c r="F986" s="17"/>
      <c r="G986" s="18"/>
      <c r="T986" s="9"/>
      <c r="U986" s="9"/>
      <c r="V986" s="9"/>
      <c r="AO986"/>
      <c r="AP986"/>
      <c r="AQ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</row>
    <row r="987" spans="3:67" s="1" customFormat="1" hidden="1">
      <c r="C987" s="14"/>
      <c r="F987" s="17"/>
      <c r="G987" s="18"/>
      <c r="T987" s="9"/>
      <c r="U987" s="9"/>
      <c r="V987" s="9"/>
      <c r="AO987"/>
      <c r="AP987"/>
      <c r="AQ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</row>
    <row r="988" spans="3:67" s="1" customFormat="1" hidden="1">
      <c r="C988" s="14"/>
      <c r="F988" s="17"/>
      <c r="G988" s="18"/>
      <c r="T988" s="9"/>
      <c r="U988" s="9"/>
      <c r="V988" s="9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</row>
    <row r="989" spans="3:67" s="1" customFormat="1" hidden="1">
      <c r="C989" s="14"/>
      <c r="F989" s="17"/>
      <c r="G989" s="18"/>
      <c r="T989" s="9"/>
      <c r="U989" s="9"/>
      <c r="V989" s="9"/>
      <c r="AO989"/>
      <c r="AP989"/>
      <c r="AQ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</row>
    <row r="990" spans="3:67" s="1" customFormat="1" hidden="1">
      <c r="C990" s="14"/>
      <c r="F990" s="17"/>
      <c r="G990" s="18"/>
      <c r="T990" s="9"/>
      <c r="U990" s="9"/>
      <c r="V990" s="9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</row>
    <row r="991" spans="3:67" s="1" customFormat="1" hidden="1">
      <c r="C991" s="14"/>
      <c r="F991" s="17"/>
      <c r="G991" s="18"/>
      <c r="T991" s="9"/>
      <c r="U991" s="9"/>
      <c r="V991" s="9"/>
      <c r="AO991"/>
      <c r="AP991"/>
      <c r="AQ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</row>
    <row r="992" spans="3:67" s="1" customFormat="1" hidden="1">
      <c r="C992" s="14"/>
      <c r="F992" s="17"/>
      <c r="G992" s="18"/>
      <c r="T992" s="9"/>
      <c r="U992" s="9"/>
      <c r="V992" s="9"/>
      <c r="AO992"/>
      <c r="AP992"/>
      <c r="AQ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</row>
    <row r="993" spans="3:67" s="1" customFormat="1" hidden="1">
      <c r="C993" s="14"/>
      <c r="F993" s="17"/>
      <c r="G993" s="18"/>
      <c r="T993" s="9"/>
      <c r="U993" s="9"/>
      <c r="V993" s="9"/>
      <c r="AO993"/>
      <c r="AP993"/>
      <c r="AQ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</row>
    <row r="994" spans="3:67" s="1" customFormat="1" hidden="1">
      <c r="C994" s="14"/>
      <c r="F994" s="17"/>
      <c r="G994" s="18"/>
      <c r="T994" s="9"/>
      <c r="U994" s="9"/>
      <c r="V994" s="9"/>
      <c r="AO994"/>
      <c r="AP994"/>
      <c r="AQ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</row>
    <row r="995" spans="3:67" s="1" customFormat="1" hidden="1">
      <c r="C995" s="14"/>
      <c r="F995" s="17"/>
      <c r="G995" s="18"/>
      <c r="T995" s="9"/>
      <c r="U995" s="9"/>
      <c r="V995" s="9"/>
      <c r="AO995"/>
      <c r="AP995"/>
      <c r="AQ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</row>
    <row r="996" spans="3:67" s="1" customFormat="1" hidden="1">
      <c r="C996" s="14"/>
      <c r="F996" s="17"/>
      <c r="G996" s="18"/>
      <c r="T996" s="9"/>
      <c r="U996" s="9"/>
      <c r="V996" s="9"/>
      <c r="AO996"/>
      <c r="AP996"/>
      <c r="AQ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</row>
    <row r="997" spans="3:67" s="1" customFormat="1" hidden="1">
      <c r="C997" s="14"/>
      <c r="F997" s="17"/>
      <c r="G997" s="18"/>
      <c r="T997" s="9"/>
      <c r="U997" s="9"/>
      <c r="V997" s="9"/>
      <c r="AO997"/>
      <c r="AP997"/>
      <c r="AQ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</row>
    <row r="998" spans="3:67" s="1" customFormat="1" hidden="1">
      <c r="C998" s="14"/>
      <c r="F998" s="17"/>
      <c r="G998" s="18"/>
      <c r="T998" s="9"/>
      <c r="U998" s="9"/>
      <c r="V998" s="9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</row>
    <row r="999" spans="3:67" s="1" customFormat="1" hidden="1">
      <c r="C999" s="14"/>
      <c r="F999" s="17"/>
      <c r="G999" s="18"/>
      <c r="T999" s="9"/>
      <c r="U999" s="9"/>
      <c r="V999" s="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</row>
    <row r="1000" spans="3:67" s="1" customFormat="1" hidden="1">
      <c r="C1000" s="14"/>
      <c r="F1000" s="17"/>
      <c r="G1000" s="18"/>
      <c r="T1000" s="9"/>
      <c r="U1000" s="9"/>
      <c r="V1000" s="9"/>
      <c r="AO1000"/>
      <c r="AP1000"/>
      <c r="AQ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</row>
    <row r="1001" spans="3:67" s="1" customFormat="1" hidden="1">
      <c r="C1001" s="14"/>
      <c r="F1001" s="17"/>
      <c r="G1001" s="18"/>
      <c r="T1001" s="9"/>
      <c r="U1001" s="9"/>
      <c r="V1001" s="9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</row>
    <row r="1002" spans="3:67" s="1" customFormat="1" hidden="1">
      <c r="C1002" s="14"/>
      <c r="F1002" s="17"/>
      <c r="G1002" s="18"/>
      <c r="T1002" s="9"/>
      <c r="U1002" s="9"/>
      <c r="V1002" s="9"/>
      <c r="AO1002"/>
      <c r="AP1002"/>
      <c r="AQ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</row>
    <row r="1003" spans="3:67" s="1" customFormat="1" hidden="1">
      <c r="C1003" s="14"/>
      <c r="F1003" s="17"/>
      <c r="G1003" s="18"/>
      <c r="T1003" s="9"/>
      <c r="U1003" s="9"/>
      <c r="V1003" s="9"/>
      <c r="AO1003"/>
      <c r="AP1003"/>
      <c r="AQ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</row>
    <row r="1004" spans="3:67" s="1" customFormat="1" hidden="1">
      <c r="C1004" s="14"/>
      <c r="F1004" s="17"/>
      <c r="G1004" s="18"/>
      <c r="T1004" s="9"/>
      <c r="U1004" s="9"/>
      <c r="V1004" s="9"/>
      <c r="AO1004"/>
      <c r="AP1004"/>
      <c r="AQ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</row>
    <row r="1005" spans="3:67" s="1" customFormat="1" hidden="1">
      <c r="C1005" s="14"/>
      <c r="F1005" s="17"/>
      <c r="G1005" s="18"/>
      <c r="T1005" s="9"/>
      <c r="U1005" s="9"/>
      <c r="V1005" s="9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</row>
    <row r="1006" spans="3:67" s="1" customFormat="1" hidden="1">
      <c r="C1006" s="14"/>
      <c r="F1006" s="17"/>
      <c r="G1006" s="18"/>
      <c r="T1006" s="9"/>
      <c r="U1006" s="9"/>
      <c r="V1006" s="9"/>
      <c r="AO1006"/>
      <c r="AP1006"/>
      <c r="AQ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</row>
    <row r="1007" spans="3:67" s="1" customFormat="1" hidden="1">
      <c r="C1007" s="14"/>
      <c r="F1007" s="17"/>
      <c r="G1007" s="18"/>
      <c r="T1007" s="9"/>
      <c r="U1007" s="9"/>
      <c r="V1007" s="9"/>
      <c r="AO1007"/>
      <c r="AP1007"/>
      <c r="AQ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</row>
    <row r="1008" spans="3:67" s="1" customFormat="1" hidden="1">
      <c r="C1008" s="14"/>
      <c r="F1008" s="17"/>
      <c r="G1008" s="18"/>
      <c r="T1008" s="9"/>
      <c r="U1008" s="9"/>
      <c r="V1008" s="9"/>
      <c r="AO1008"/>
      <c r="AP1008"/>
      <c r="AQ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</row>
    <row r="1009" spans="3:67" s="1" customFormat="1" hidden="1">
      <c r="C1009" s="14"/>
      <c r="F1009" s="17"/>
      <c r="G1009" s="18"/>
      <c r="T1009" s="9"/>
      <c r="U1009" s="9"/>
      <c r="V1009" s="9"/>
      <c r="AO1009"/>
      <c r="AP1009"/>
      <c r="AQ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</row>
    <row r="1010" spans="3:67" s="1" customFormat="1" hidden="1">
      <c r="C1010" s="14"/>
      <c r="F1010" s="17"/>
      <c r="G1010" s="18"/>
      <c r="T1010" s="9"/>
      <c r="U1010" s="9"/>
      <c r="V1010" s="9"/>
      <c r="AO1010"/>
      <c r="AP1010"/>
      <c r="AQ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</row>
    <row r="1011" spans="3:67" s="1" customFormat="1" hidden="1">
      <c r="C1011" s="14"/>
      <c r="F1011" s="17"/>
      <c r="G1011" s="18"/>
      <c r="T1011" s="9"/>
      <c r="U1011" s="9"/>
      <c r="V1011" s="9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</row>
    <row r="1012" spans="3:67" s="1" customFormat="1" hidden="1">
      <c r="C1012" s="14"/>
      <c r="F1012" s="17"/>
      <c r="G1012" s="18"/>
      <c r="T1012" s="9"/>
      <c r="U1012" s="9"/>
      <c r="V1012" s="9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</row>
    <row r="1013" spans="3:67" s="1" customFormat="1" hidden="1">
      <c r="C1013" s="14"/>
      <c r="F1013" s="17"/>
      <c r="G1013" s="18"/>
      <c r="T1013" s="9"/>
      <c r="U1013" s="9"/>
      <c r="V1013" s="9"/>
      <c r="AO1013"/>
      <c r="AP1013"/>
      <c r="AQ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</row>
    <row r="1014" spans="3:67" s="1" customFormat="1" hidden="1">
      <c r="C1014" s="14"/>
      <c r="F1014" s="17"/>
      <c r="G1014" s="18"/>
      <c r="T1014" s="9"/>
      <c r="U1014" s="9"/>
      <c r="V1014" s="9"/>
      <c r="AO1014"/>
      <c r="AP1014"/>
      <c r="AQ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</row>
    <row r="1015" spans="3:67" s="1" customFormat="1" hidden="1">
      <c r="C1015" s="14"/>
      <c r="F1015" s="17"/>
      <c r="G1015" s="18"/>
      <c r="T1015" s="9"/>
      <c r="U1015" s="9"/>
      <c r="V1015" s="9"/>
      <c r="AO1015"/>
      <c r="AP1015"/>
      <c r="AQ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</row>
    <row r="1016" spans="3:67" s="1" customFormat="1" hidden="1">
      <c r="C1016" s="14"/>
      <c r="F1016" s="17"/>
      <c r="G1016" s="18"/>
      <c r="T1016" s="9"/>
      <c r="U1016" s="9"/>
      <c r="V1016" s="9"/>
      <c r="AO1016"/>
      <c r="AP1016"/>
      <c r="AQ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</row>
    <row r="1017" spans="3:67" s="1" customFormat="1" hidden="1">
      <c r="C1017" s="14"/>
      <c r="F1017" s="17"/>
      <c r="G1017" s="18"/>
      <c r="T1017" s="9"/>
      <c r="U1017" s="9"/>
      <c r="V1017" s="9"/>
      <c r="AO1017"/>
      <c r="AP1017"/>
      <c r="AQ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</row>
    <row r="1018" spans="3:67" s="1" customFormat="1" hidden="1">
      <c r="C1018" s="14"/>
      <c r="F1018" s="17"/>
      <c r="G1018" s="18"/>
      <c r="T1018" s="9"/>
      <c r="U1018" s="9"/>
      <c r="V1018" s="9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</row>
    <row r="1019" spans="3:67" s="1" customFormat="1" hidden="1">
      <c r="C1019" s="14"/>
      <c r="F1019" s="17"/>
      <c r="G1019" s="18"/>
      <c r="T1019" s="9"/>
      <c r="U1019" s="9"/>
      <c r="V1019" s="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</row>
    <row r="1020" spans="3:67" s="1" customFormat="1" hidden="1">
      <c r="C1020" s="14"/>
      <c r="F1020" s="17"/>
      <c r="G1020" s="18"/>
      <c r="T1020" s="9"/>
      <c r="U1020" s="9"/>
      <c r="V1020" s="9"/>
      <c r="AO1020"/>
      <c r="AP1020"/>
      <c r="AQ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</row>
    <row r="1021" spans="3:67" s="1" customFormat="1" hidden="1">
      <c r="C1021" s="14"/>
      <c r="F1021" s="17"/>
      <c r="G1021" s="18"/>
      <c r="T1021" s="9"/>
      <c r="U1021" s="9"/>
      <c r="V1021" s="9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</row>
    <row r="1022" spans="3:67" s="1" customFormat="1" hidden="1">
      <c r="C1022" s="14"/>
      <c r="F1022" s="17"/>
      <c r="G1022" s="18"/>
      <c r="T1022" s="9"/>
      <c r="U1022" s="9"/>
      <c r="V1022" s="9"/>
      <c r="AO1022"/>
      <c r="AP1022"/>
      <c r="AQ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</row>
    <row r="1023" spans="3:67" s="1" customFormat="1" hidden="1">
      <c r="C1023" s="14"/>
      <c r="F1023" s="17"/>
      <c r="G1023" s="18"/>
      <c r="T1023" s="9"/>
      <c r="U1023" s="9"/>
      <c r="V1023" s="9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</row>
    <row r="1024" spans="3:67" s="1" customFormat="1" hidden="1">
      <c r="C1024" s="14"/>
      <c r="F1024" s="17"/>
      <c r="G1024" s="18"/>
      <c r="T1024" s="9"/>
      <c r="U1024" s="9"/>
      <c r="V1024" s="9"/>
      <c r="AO1024"/>
      <c r="AP1024"/>
      <c r="AQ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</row>
    <row r="1025" spans="3:67" s="1" customFormat="1" hidden="1">
      <c r="C1025" s="14"/>
      <c r="F1025" s="17"/>
      <c r="G1025" s="18"/>
      <c r="T1025" s="9"/>
      <c r="U1025" s="9"/>
      <c r="V1025" s="9"/>
      <c r="AO1025"/>
      <c r="AP1025"/>
      <c r="AQ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</row>
    <row r="1026" spans="3:67" s="1" customFormat="1" hidden="1">
      <c r="C1026" s="14"/>
      <c r="F1026" s="17"/>
      <c r="G1026" s="18"/>
      <c r="T1026" s="9"/>
      <c r="U1026" s="9"/>
      <c r="V1026" s="9"/>
      <c r="AO1026"/>
      <c r="AP1026"/>
      <c r="AQ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</row>
    <row r="1027" spans="3:67" s="1" customFormat="1" hidden="1">
      <c r="C1027" s="14"/>
      <c r="F1027" s="17"/>
      <c r="G1027" s="18"/>
      <c r="T1027" s="9"/>
      <c r="U1027" s="9"/>
      <c r="V1027" s="9"/>
      <c r="AO1027"/>
      <c r="AP1027"/>
      <c r="AQ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</row>
    <row r="1028" spans="3:67" s="1" customFormat="1" hidden="1">
      <c r="C1028" s="14"/>
      <c r="F1028" s="17"/>
      <c r="G1028" s="18"/>
      <c r="T1028" s="9"/>
      <c r="U1028" s="9"/>
      <c r="V1028" s="9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</row>
    <row r="1029" spans="3:67" s="1" customFormat="1" hidden="1">
      <c r="C1029" s="14"/>
      <c r="F1029" s="17"/>
      <c r="G1029" s="18"/>
      <c r="T1029" s="9"/>
      <c r="U1029" s="9"/>
      <c r="V1029" s="9"/>
      <c r="AO1029"/>
      <c r="AP1029"/>
      <c r="AQ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</row>
    <row r="1030" spans="3:67" s="1" customFormat="1" hidden="1">
      <c r="C1030" s="14"/>
      <c r="F1030" s="17"/>
      <c r="G1030" s="18"/>
      <c r="T1030" s="9"/>
      <c r="U1030" s="9"/>
      <c r="V1030" s="9"/>
      <c r="AO1030"/>
      <c r="AP1030"/>
      <c r="AQ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</row>
    <row r="1031" spans="3:67" s="1" customFormat="1" hidden="1">
      <c r="C1031" s="14"/>
      <c r="F1031" s="17"/>
      <c r="G1031" s="18"/>
      <c r="T1031" s="9"/>
      <c r="U1031" s="9"/>
      <c r="V1031" s="9"/>
      <c r="AO1031"/>
      <c r="AP1031"/>
      <c r="AQ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</row>
    <row r="1032" spans="3:67" s="1" customFormat="1" hidden="1">
      <c r="C1032" s="14"/>
      <c r="F1032" s="17"/>
      <c r="G1032" s="18"/>
      <c r="T1032" s="9"/>
      <c r="U1032" s="9"/>
      <c r="V1032" s="9"/>
      <c r="AO1032"/>
      <c r="AP1032"/>
      <c r="AQ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</row>
    <row r="1033" spans="3:67" s="1" customFormat="1" hidden="1">
      <c r="C1033" s="14"/>
      <c r="F1033" s="17"/>
      <c r="G1033" s="18"/>
      <c r="T1033" s="9"/>
      <c r="U1033" s="9"/>
      <c r="V1033" s="9"/>
      <c r="AO1033"/>
      <c r="AP1033"/>
      <c r="AQ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</row>
    <row r="1034" spans="3:67" s="1" customFormat="1" hidden="1">
      <c r="C1034" s="14"/>
      <c r="F1034" s="17"/>
      <c r="G1034" s="18"/>
      <c r="T1034" s="9"/>
      <c r="U1034" s="9"/>
      <c r="V1034" s="9"/>
      <c r="AO1034"/>
      <c r="AP1034"/>
      <c r="AQ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</row>
    <row r="1035" spans="3:67" s="1" customFormat="1" hidden="1">
      <c r="C1035" s="14"/>
      <c r="F1035" s="17"/>
      <c r="G1035" s="18"/>
      <c r="T1035" s="9"/>
      <c r="U1035" s="9"/>
      <c r="V1035" s="9"/>
      <c r="AO1035"/>
      <c r="AP1035"/>
      <c r="AQ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</row>
    <row r="1036" spans="3:67" s="1" customFormat="1" hidden="1">
      <c r="C1036" s="14"/>
      <c r="F1036" s="17"/>
      <c r="G1036" s="18"/>
      <c r="T1036" s="9"/>
      <c r="U1036" s="9"/>
      <c r="V1036" s="9"/>
      <c r="AO1036"/>
      <c r="AP1036"/>
      <c r="AQ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</row>
    <row r="1037" spans="3:67" s="1" customFormat="1" hidden="1">
      <c r="C1037" s="14"/>
      <c r="F1037" s="17"/>
      <c r="G1037" s="18"/>
      <c r="T1037" s="9"/>
      <c r="U1037" s="9"/>
      <c r="V1037" s="9"/>
      <c r="AO1037"/>
      <c r="AP1037"/>
      <c r="AQ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</row>
    <row r="1038" spans="3:67" s="1" customFormat="1" hidden="1">
      <c r="C1038" s="14"/>
      <c r="F1038" s="17"/>
      <c r="G1038" s="18"/>
      <c r="T1038" s="9"/>
      <c r="U1038" s="9"/>
      <c r="V1038" s="9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</row>
    <row r="1039" spans="3:67" s="1" customFormat="1" hidden="1">
      <c r="C1039" s="14"/>
      <c r="F1039" s="17"/>
      <c r="G1039" s="18"/>
      <c r="T1039" s="9"/>
      <c r="U1039" s="9"/>
      <c r="V1039" s="9"/>
      <c r="AO1039"/>
      <c r="AP1039"/>
      <c r="AQ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</row>
    <row r="1040" spans="3:67" s="1" customFormat="1" hidden="1">
      <c r="C1040" s="14"/>
      <c r="F1040" s="17"/>
      <c r="G1040" s="18"/>
      <c r="T1040" s="9"/>
      <c r="U1040" s="9"/>
      <c r="V1040" s="9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</row>
    <row r="1041" spans="3:67" s="1" customFormat="1" hidden="1">
      <c r="C1041" s="14"/>
      <c r="F1041" s="17"/>
      <c r="G1041" s="18"/>
      <c r="T1041" s="9"/>
      <c r="U1041" s="9"/>
      <c r="V1041" s="9"/>
      <c r="AO1041"/>
      <c r="AP1041"/>
      <c r="AQ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</row>
    <row r="1042" spans="3:67" s="1" customFormat="1" hidden="1">
      <c r="C1042" s="14"/>
      <c r="F1042" s="17"/>
      <c r="G1042" s="18"/>
      <c r="T1042" s="9"/>
      <c r="U1042" s="9"/>
      <c r="V1042" s="9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</row>
    <row r="1043" spans="3:67" s="1" customFormat="1" hidden="1">
      <c r="C1043" s="14"/>
      <c r="F1043" s="17"/>
      <c r="G1043" s="18"/>
      <c r="T1043" s="9"/>
      <c r="U1043" s="9"/>
      <c r="V1043" s="9"/>
      <c r="AO1043"/>
      <c r="AP1043"/>
      <c r="AQ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</row>
    <row r="1044" spans="3:67" s="1" customFormat="1" hidden="1">
      <c r="C1044" s="14"/>
      <c r="F1044" s="17"/>
      <c r="G1044" s="18"/>
      <c r="T1044" s="9"/>
      <c r="U1044" s="9"/>
      <c r="V1044" s="9"/>
      <c r="AO1044"/>
      <c r="AP1044"/>
      <c r="AQ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</row>
    <row r="1045" spans="3:67" s="1" customFormat="1" hidden="1">
      <c r="C1045" s="14"/>
      <c r="F1045" s="17"/>
      <c r="G1045" s="18"/>
      <c r="T1045" s="9"/>
      <c r="U1045" s="9"/>
      <c r="V1045" s="9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</row>
    <row r="1046" spans="3:67" s="1" customFormat="1" hidden="1">
      <c r="C1046" s="14"/>
      <c r="F1046" s="17"/>
      <c r="G1046" s="18"/>
      <c r="T1046" s="9"/>
      <c r="U1046" s="9"/>
      <c r="V1046" s="9"/>
      <c r="AO1046"/>
      <c r="AP1046"/>
      <c r="AQ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</row>
    <row r="1047" spans="3:67" s="1" customFormat="1" hidden="1">
      <c r="C1047" s="14"/>
      <c r="F1047" s="17"/>
      <c r="G1047" s="18"/>
      <c r="T1047" s="9"/>
      <c r="U1047" s="9"/>
      <c r="V1047" s="9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</row>
    <row r="1048" spans="3:67" s="1" customFormat="1" hidden="1">
      <c r="C1048" s="14"/>
      <c r="F1048" s="17"/>
      <c r="G1048" s="18"/>
      <c r="T1048" s="9"/>
      <c r="U1048" s="9"/>
      <c r="V1048" s="9"/>
      <c r="AO1048"/>
      <c r="AP1048"/>
      <c r="AQ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</row>
    <row r="1049" spans="3:67" s="1" customFormat="1" hidden="1">
      <c r="C1049" s="14"/>
      <c r="F1049" s="17"/>
      <c r="G1049" s="18"/>
      <c r="T1049" s="9"/>
      <c r="U1049" s="9"/>
      <c r="V1049" s="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</row>
    <row r="1050" spans="3:67" s="1" customFormat="1" hidden="1">
      <c r="C1050" s="14"/>
      <c r="F1050" s="17"/>
      <c r="G1050" s="18"/>
      <c r="T1050" s="9"/>
      <c r="U1050" s="9"/>
      <c r="V1050" s="9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</row>
    <row r="1051" spans="3:67" s="1" customFormat="1" hidden="1">
      <c r="C1051" s="14"/>
      <c r="F1051" s="17"/>
      <c r="G1051" s="18"/>
      <c r="T1051" s="9"/>
      <c r="U1051" s="9"/>
      <c r="V1051" s="9"/>
      <c r="AO1051"/>
      <c r="AP1051"/>
      <c r="AQ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</row>
    <row r="1052" spans="3:67" s="1" customFormat="1" hidden="1">
      <c r="C1052" s="14"/>
      <c r="F1052" s="17"/>
      <c r="G1052" s="18"/>
      <c r="T1052" s="9"/>
      <c r="U1052" s="9"/>
      <c r="V1052" s="9"/>
      <c r="AO1052"/>
      <c r="AP1052"/>
      <c r="AQ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</row>
    <row r="1053" spans="3:67" s="1" customFormat="1" hidden="1">
      <c r="C1053" s="14"/>
      <c r="F1053" s="17"/>
      <c r="G1053" s="18"/>
      <c r="T1053" s="9"/>
      <c r="U1053" s="9"/>
      <c r="V1053" s="9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</row>
    <row r="1054" spans="3:67" s="1" customFormat="1" hidden="1">
      <c r="C1054" s="14"/>
      <c r="F1054" s="17"/>
      <c r="G1054" s="18"/>
      <c r="T1054" s="9"/>
      <c r="U1054" s="9"/>
      <c r="V1054" s="9"/>
      <c r="AO1054"/>
      <c r="AP1054"/>
      <c r="AQ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</row>
    <row r="1055" spans="3:67" s="1" customFormat="1" hidden="1">
      <c r="C1055" s="14"/>
      <c r="F1055" s="17"/>
      <c r="G1055" s="18"/>
      <c r="T1055" s="9"/>
      <c r="U1055" s="9"/>
      <c r="V1055" s="9"/>
      <c r="AO1055"/>
      <c r="AP1055"/>
      <c r="AQ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</row>
    <row r="1056" spans="3:67" s="1" customFormat="1" hidden="1">
      <c r="C1056" s="14"/>
      <c r="F1056" s="17"/>
      <c r="G1056" s="18"/>
      <c r="T1056" s="9"/>
      <c r="U1056" s="9"/>
      <c r="V1056" s="9"/>
      <c r="AO1056"/>
      <c r="AP1056"/>
      <c r="AQ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</row>
    <row r="1057" spans="3:67" s="1" customFormat="1" hidden="1">
      <c r="C1057" s="14"/>
      <c r="F1057" s="17"/>
      <c r="G1057" s="18"/>
      <c r="T1057" s="9"/>
      <c r="U1057" s="9"/>
      <c r="V1057" s="9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</row>
    <row r="1058" spans="3:67" s="1" customFormat="1" hidden="1">
      <c r="C1058" s="14"/>
      <c r="F1058" s="17"/>
      <c r="G1058" s="18"/>
      <c r="T1058" s="9"/>
      <c r="U1058" s="9"/>
      <c r="V1058" s="9"/>
      <c r="AO1058"/>
      <c r="AP1058"/>
      <c r="AQ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</row>
    <row r="1059" spans="3:67" s="1" customFormat="1" hidden="1">
      <c r="C1059" s="14"/>
      <c r="F1059" s="17"/>
      <c r="G1059" s="18"/>
      <c r="T1059" s="9"/>
      <c r="U1059" s="9"/>
      <c r="V1059" s="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</row>
    <row r="1060" spans="3:67" s="1" customFormat="1" hidden="1">
      <c r="C1060" s="14"/>
      <c r="F1060" s="17"/>
      <c r="G1060" s="18"/>
      <c r="T1060" s="9"/>
      <c r="U1060" s="9"/>
      <c r="V1060" s="9"/>
      <c r="AO1060"/>
      <c r="AP1060"/>
      <c r="AQ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</row>
    <row r="1061" spans="3:67" s="1" customFormat="1" hidden="1">
      <c r="C1061" s="14"/>
      <c r="F1061" s="17"/>
      <c r="G1061" s="18"/>
      <c r="T1061" s="9"/>
      <c r="U1061" s="9"/>
      <c r="V1061" s="9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</row>
    <row r="1062" spans="3:67" s="1" customFormat="1" hidden="1">
      <c r="C1062" s="14"/>
      <c r="F1062" s="17"/>
      <c r="G1062" s="18"/>
      <c r="T1062" s="9"/>
      <c r="U1062" s="9"/>
      <c r="V1062" s="9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</row>
    <row r="1063" spans="3:67" s="1" customFormat="1" hidden="1">
      <c r="C1063" s="14"/>
      <c r="F1063" s="17"/>
      <c r="G1063" s="18"/>
      <c r="T1063" s="9"/>
      <c r="U1063" s="9"/>
      <c r="V1063" s="9"/>
      <c r="AO1063"/>
      <c r="AP1063"/>
      <c r="AQ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</row>
    <row r="1064" spans="3:67" s="1" customFormat="1" hidden="1">
      <c r="C1064" s="14"/>
      <c r="F1064" s="17"/>
      <c r="G1064" s="18"/>
      <c r="T1064" s="9"/>
      <c r="U1064" s="9"/>
      <c r="V1064" s="9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</row>
    <row r="1065" spans="3:67" s="1" customFormat="1" hidden="1">
      <c r="C1065" s="14"/>
      <c r="F1065" s="17"/>
      <c r="G1065" s="18"/>
      <c r="T1065" s="9"/>
      <c r="U1065" s="9"/>
      <c r="V1065" s="9"/>
      <c r="AO1065"/>
      <c r="AP1065"/>
      <c r="AQ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</row>
    <row r="1066" spans="3:67" s="1" customFormat="1" hidden="1">
      <c r="C1066" s="14"/>
      <c r="F1066" s="17"/>
      <c r="G1066" s="18"/>
      <c r="T1066" s="9"/>
      <c r="U1066" s="9"/>
      <c r="V1066" s="9"/>
      <c r="AO1066"/>
      <c r="AP1066"/>
      <c r="AQ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</row>
    <row r="1067" spans="3:67" s="1" customFormat="1" hidden="1">
      <c r="C1067" s="14"/>
      <c r="F1067" s="17"/>
      <c r="G1067" s="18"/>
      <c r="T1067" s="9"/>
      <c r="U1067" s="9"/>
      <c r="V1067" s="9"/>
      <c r="AO1067"/>
      <c r="AP1067"/>
      <c r="AQ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</row>
    <row r="1068" spans="3:67" s="1" customFormat="1" hidden="1">
      <c r="C1068" s="14"/>
      <c r="F1068" s="17"/>
      <c r="G1068" s="18"/>
      <c r="T1068" s="9"/>
      <c r="U1068" s="9"/>
      <c r="V1068" s="9"/>
      <c r="AO1068"/>
      <c r="AP1068"/>
      <c r="AQ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</row>
    <row r="1069" spans="3:67" s="1" customFormat="1" hidden="1">
      <c r="C1069" s="14"/>
      <c r="F1069" s="17"/>
      <c r="G1069" s="18"/>
      <c r="T1069" s="9"/>
      <c r="U1069" s="9"/>
      <c r="V1069" s="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</row>
    <row r="1070" spans="3:67" s="1" customFormat="1" hidden="1">
      <c r="C1070" s="14"/>
      <c r="F1070" s="17"/>
      <c r="G1070" s="18"/>
      <c r="T1070" s="9"/>
      <c r="U1070" s="9"/>
      <c r="V1070" s="9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</row>
    <row r="1071" spans="3:67" s="1" customFormat="1" hidden="1">
      <c r="C1071" s="14"/>
      <c r="F1071" s="17"/>
      <c r="G1071" s="18"/>
      <c r="T1071" s="9"/>
      <c r="U1071" s="9"/>
      <c r="V1071" s="9"/>
      <c r="AO1071"/>
      <c r="AP1071"/>
      <c r="AQ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</row>
    <row r="1072" spans="3:67" s="1" customFormat="1" hidden="1">
      <c r="C1072" s="14"/>
      <c r="F1072" s="17"/>
      <c r="G1072" s="18"/>
      <c r="T1072" s="9"/>
      <c r="U1072" s="9"/>
      <c r="V1072" s="9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</row>
    <row r="1073" spans="3:67" s="1" customFormat="1" hidden="1">
      <c r="C1073" s="14"/>
      <c r="F1073" s="17"/>
      <c r="G1073" s="18"/>
      <c r="T1073" s="9"/>
      <c r="U1073" s="9"/>
      <c r="V1073" s="9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</row>
    <row r="1074" spans="3:67" s="1" customFormat="1" hidden="1">
      <c r="C1074" s="14"/>
      <c r="F1074" s="17"/>
      <c r="G1074" s="18"/>
      <c r="T1074" s="9"/>
      <c r="U1074" s="9"/>
      <c r="V1074" s="9"/>
      <c r="AO1074"/>
      <c r="AP1074"/>
      <c r="AQ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</row>
    <row r="1075" spans="3:67" s="1" customFormat="1" hidden="1">
      <c r="C1075" s="14"/>
      <c r="F1075" s="17"/>
      <c r="G1075" s="18"/>
      <c r="T1075" s="9"/>
      <c r="U1075" s="9"/>
      <c r="V1075" s="9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</row>
    <row r="1076" spans="3:67" s="1" customFormat="1" hidden="1">
      <c r="C1076" s="14"/>
      <c r="F1076" s="17"/>
      <c r="G1076" s="18"/>
      <c r="T1076" s="9"/>
      <c r="U1076" s="9"/>
      <c r="V1076" s="9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</row>
    <row r="1077" spans="3:67" s="1" customFormat="1" hidden="1">
      <c r="C1077" s="14"/>
      <c r="F1077" s="17"/>
      <c r="G1077" s="18"/>
      <c r="T1077" s="9"/>
      <c r="U1077" s="9"/>
      <c r="V1077" s="9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</row>
    <row r="1078" spans="3:67" s="1" customFormat="1" hidden="1">
      <c r="C1078" s="14"/>
      <c r="F1078" s="17"/>
      <c r="G1078" s="18"/>
      <c r="T1078" s="9"/>
      <c r="U1078" s="9"/>
      <c r="V1078" s="9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</row>
    <row r="1079" spans="3:67" s="1" customFormat="1" hidden="1">
      <c r="C1079" s="14"/>
      <c r="F1079" s="17"/>
      <c r="G1079" s="18"/>
      <c r="T1079" s="9"/>
      <c r="U1079" s="9"/>
      <c r="V1079" s="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</row>
    <row r="1080" spans="3:67" s="1" customFormat="1" hidden="1">
      <c r="C1080" s="14"/>
      <c r="F1080" s="17"/>
      <c r="G1080" s="18"/>
      <c r="T1080" s="9"/>
      <c r="U1080" s="9"/>
      <c r="V1080" s="9"/>
      <c r="AO1080"/>
      <c r="AP1080"/>
      <c r="AQ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</row>
    <row r="1081" spans="3:67" s="1" customFormat="1" hidden="1">
      <c r="C1081" s="14"/>
      <c r="F1081" s="17"/>
      <c r="G1081" s="18"/>
      <c r="T1081" s="9"/>
      <c r="U1081" s="9"/>
      <c r="V1081" s="9"/>
      <c r="AO1081"/>
      <c r="AP1081"/>
      <c r="AQ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</row>
    <row r="1082" spans="3:67" s="1" customFormat="1" hidden="1">
      <c r="C1082" s="14"/>
      <c r="F1082" s="17"/>
      <c r="G1082" s="18"/>
      <c r="T1082" s="9"/>
      <c r="U1082" s="9"/>
      <c r="V1082" s="9"/>
      <c r="AO1082"/>
      <c r="AP1082"/>
      <c r="AQ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</row>
    <row r="1083" spans="3:67" s="1" customFormat="1" hidden="1">
      <c r="C1083" s="14"/>
      <c r="F1083" s="17"/>
      <c r="G1083" s="18"/>
      <c r="T1083" s="9"/>
      <c r="U1083" s="9"/>
      <c r="V1083" s="9"/>
      <c r="AO1083"/>
      <c r="AP1083"/>
      <c r="AQ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</row>
    <row r="1084" spans="3:67" s="1" customFormat="1" hidden="1">
      <c r="C1084" s="14"/>
      <c r="F1084" s="17"/>
      <c r="G1084" s="18"/>
      <c r="T1084" s="9"/>
      <c r="U1084" s="9"/>
      <c r="V1084" s="9"/>
      <c r="AO1084"/>
      <c r="AP1084"/>
      <c r="AQ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</row>
    <row r="1085" spans="3:67" s="1" customFormat="1" hidden="1">
      <c r="C1085" s="14"/>
      <c r="F1085" s="17"/>
      <c r="G1085" s="18"/>
      <c r="T1085" s="9"/>
      <c r="U1085" s="9"/>
      <c r="V1085" s="9"/>
      <c r="AO1085"/>
      <c r="AP1085"/>
      <c r="AQ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</row>
    <row r="1086" spans="3:67" s="1" customFormat="1" hidden="1">
      <c r="C1086" s="14"/>
      <c r="F1086" s="17"/>
      <c r="G1086" s="18"/>
      <c r="T1086" s="9"/>
      <c r="U1086" s="9"/>
      <c r="V1086" s="9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</row>
    <row r="1087" spans="3:67" s="1" customFormat="1" hidden="1">
      <c r="C1087" s="14"/>
      <c r="F1087" s="17"/>
      <c r="G1087" s="18"/>
      <c r="T1087" s="9"/>
      <c r="U1087" s="9"/>
      <c r="V1087" s="9"/>
      <c r="AO1087"/>
      <c r="AP1087"/>
      <c r="AQ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</row>
    <row r="1088" spans="3:67" s="1" customFormat="1" hidden="1">
      <c r="C1088" s="14"/>
      <c r="F1088" s="17"/>
      <c r="G1088" s="18"/>
      <c r="T1088" s="9"/>
      <c r="U1088" s="9"/>
      <c r="V1088" s="9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</row>
    <row r="1089" spans="3:67" s="1" customFormat="1" hidden="1">
      <c r="C1089" s="14"/>
      <c r="F1089" s="17"/>
      <c r="G1089" s="18"/>
      <c r="T1089" s="9"/>
      <c r="U1089" s="9"/>
      <c r="V1089" s="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</row>
    <row r="1090" spans="3:67" s="1" customFormat="1" hidden="1">
      <c r="C1090" s="14"/>
      <c r="F1090" s="17"/>
      <c r="G1090" s="18"/>
      <c r="T1090" s="9"/>
      <c r="U1090" s="9"/>
      <c r="V1090" s="9"/>
      <c r="AO1090"/>
      <c r="AP1090"/>
      <c r="AQ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</row>
    <row r="1091" spans="3:67" s="1" customFormat="1" hidden="1">
      <c r="C1091" s="14"/>
      <c r="F1091" s="17"/>
      <c r="G1091" s="18"/>
      <c r="T1091" s="9"/>
      <c r="U1091" s="9"/>
      <c r="V1091" s="9"/>
      <c r="AO1091"/>
      <c r="AP1091"/>
      <c r="AQ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</row>
    <row r="1092" spans="3:67" s="1" customFormat="1" hidden="1">
      <c r="C1092" s="14"/>
      <c r="F1092" s="17"/>
      <c r="G1092" s="18"/>
      <c r="T1092" s="9"/>
      <c r="U1092" s="9"/>
      <c r="V1092" s="9"/>
      <c r="AO1092"/>
      <c r="AP1092"/>
      <c r="AQ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</row>
    <row r="1093" spans="3:67" s="1" customFormat="1" hidden="1">
      <c r="C1093" s="14"/>
      <c r="F1093" s="17"/>
      <c r="G1093" s="18"/>
      <c r="T1093" s="9"/>
      <c r="U1093" s="9"/>
      <c r="V1093" s="9"/>
      <c r="AO1093"/>
      <c r="AP1093"/>
      <c r="AQ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</row>
    <row r="1094" spans="3:67" s="1" customFormat="1" hidden="1">
      <c r="C1094" s="14"/>
      <c r="F1094" s="17"/>
      <c r="G1094" s="18"/>
      <c r="T1094" s="9"/>
      <c r="U1094" s="9"/>
      <c r="V1094" s="9"/>
      <c r="AO1094"/>
      <c r="AP1094"/>
      <c r="AQ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</row>
    <row r="1095" spans="3:67" s="1" customFormat="1" hidden="1">
      <c r="C1095" s="14"/>
      <c r="F1095" s="17"/>
      <c r="G1095" s="18"/>
      <c r="T1095" s="9"/>
      <c r="U1095" s="9"/>
      <c r="V1095" s="9"/>
      <c r="AO1095"/>
      <c r="AP1095"/>
      <c r="AQ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</row>
    <row r="1096" spans="3:67" s="1" customFormat="1" hidden="1">
      <c r="C1096" s="14"/>
      <c r="F1096" s="17"/>
      <c r="G1096" s="18"/>
      <c r="T1096" s="9"/>
      <c r="U1096" s="9"/>
      <c r="V1096" s="9"/>
      <c r="AO1096"/>
      <c r="AP1096"/>
      <c r="AQ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</row>
    <row r="1097" spans="3:67" s="1" customFormat="1" hidden="1">
      <c r="C1097" s="14"/>
      <c r="F1097" s="17"/>
      <c r="G1097" s="18"/>
      <c r="T1097" s="9"/>
      <c r="U1097" s="9"/>
      <c r="V1097" s="9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</row>
    <row r="1098" spans="3:67" s="1" customFormat="1" hidden="1">
      <c r="C1098" s="14"/>
      <c r="F1098" s="17"/>
      <c r="G1098" s="18"/>
      <c r="T1098" s="9"/>
      <c r="U1098" s="9"/>
      <c r="V1098" s="9"/>
      <c r="AO1098"/>
      <c r="AP1098"/>
      <c r="AQ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</row>
    <row r="1099" spans="3:67" s="1" customFormat="1" hidden="1">
      <c r="C1099" s="14"/>
      <c r="F1099" s="17"/>
      <c r="G1099" s="18"/>
      <c r="T1099" s="9"/>
      <c r="U1099" s="9"/>
      <c r="V1099" s="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</row>
    <row r="1100" spans="3:67" s="1" customFormat="1" hidden="1">
      <c r="C1100" s="14"/>
      <c r="F1100" s="17"/>
      <c r="G1100" s="18"/>
      <c r="T1100" s="9"/>
      <c r="U1100" s="9"/>
      <c r="V1100" s="9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</row>
    <row r="1101" spans="3:67" s="1" customFormat="1" hidden="1">
      <c r="C1101" s="14"/>
      <c r="F1101" s="17"/>
      <c r="G1101" s="18"/>
      <c r="T1101" s="9"/>
      <c r="U1101" s="9"/>
      <c r="V1101" s="9"/>
      <c r="AO1101"/>
      <c r="AP1101"/>
      <c r="AQ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</row>
    <row r="1102" spans="3:67" s="1" customFormat="1" hidden="1">
      <c r="C1102" s="14"/>
      <c r="F1102" s="17"/>
      <c r="G1102" s="18"/>
      <c r="T1102" s="9"/>
      <c r="U1102" s="9"/>
      <c r="V1102" s="9"/>
      <c r="AO1102"/>
      <c r="AP1102"/>
      <c r="AQ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</row>
    <row r="1103" spans="3:67" s="1" customFormat="1" hidden="1">
      <c r="C1103" s="14"/>
      <c r="F1103" s="17"/>
      <c r="G1103" s="18"/>
      <c r="T1103" s="9"/>
      <c r="U1103" s="9"/>
      <c r="V1103" s="9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</row>
    <row r="1104" spans="3:67" s="1" customFormat="1" hidden="1">
      <c r="C1104" s="14"/>
      <c r="F1104" s="17"/>
      <c r="G1104" s="18"/>
      <c r="T1104" s="9"/>
      <c r="U1104" s="9"/>
      <c r="V1104" s="9"/>
      <c r="AO1104"/>
      <c r="AP1104"/>
      <c r="AQ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</row>
    <row r="1105" spans="3:67" s="1" customFormat="1" hidden="1">
      <c r="C1105" s="14"/>
      <c r="F1105" s="17"/>
      <c r="G1105" s="18"/>
      <c r="T1105" s="9"/>
      <c r="U1105" s="9"/>
      <c r="V1105" s="9"/>
      <c r="AO1105"/>
      <c r="AP1105"/>
      <c r="AQ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</row>
    <row r="1106" spans="3:67" s="1" customFormat="1" hidden="1">
      <c r="C1106" s="14"/>
      <c r="F1106" s="17"/>
      <c r="G1106" s="18"/>
      <c r="T1106" s="9"/>
      <c r="U1106" s="9"/>
      <c r="V1106" s="9"/>
      <c r="AO1106"/>
      <c r="AP1106"/>
      <c r="AQ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</row>
    <row r="1107" spans="3:67" s="1" customFormat="1" hidden="1">
      <c r="C1107" s="14"/>
      <c r="F1107" s="17"/>
      <c r="G1107" s="18"/>
      <c r="T1107" s="9"/>
      <c r="U1107" s="9"/>
      <c r="V1107" s="9"/>
      <c r="AO1107"/>
      <c r="AP1107"/>
      <c r="AQ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</row>
    <row r="1108" spans="3:67" s="1" customFormat="1" hidden="1">
      <c r="C1108" s="14"/>
      <c r="F1108" s="17"/>
      <c r="G1108" s="18"/>
      <c r="T1108" s="9"/>
      <c r="U1108" s="9"/>
      <c r="V1108" s="9"/>
      <c r="AO1108"/>
      <c r="AP1108"/>
      <c r="AQ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</row>
    <row r="1109" spans="3:67" s="1" customFormat="1" hidden="1">
      <c r="C1109" s="14"/>
      <c r="F1109" s="17"/>
      <c r="G1109" s="18"/>
      <c r="T1109" s="9"/>
      <c r="U1109" s="9"/>
      <c r="V1109" s="9"/>
      <c r="AO1109"/>
      <c r="AP1109"/>
      <c r="AQ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</row>
    <row r="1110" spans="3:67" s="1" customFormat="1" hidden="1">
      <c r="C1110" s="14"/>
      <c r="F1110" s="17"/>
      <c r="G1110" s="18"/>
      <c r="T1110" s="9"/>
      <c r="U1110" s="9"/>
      <c r="V1110" s="9"/>
      <c r="AO1110"/>
      <c r="AP1110"/>
      <c r="AQ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</row>
    <row r="1111" spans="3:67" s="1" customFormat="1" hidden="1">
      <c r="C1111" s="14"/>
      <c r="F1111" s="17"/>
      <c r="G1111" s="18"/>
      <c r="T1111" s="9"/>
      <c r="U1111" s="9"/>
      <c r="V1111" s="9"/>
      <c r="AO1111"/>
      <c r="AP1111"/>
      <c r="AQ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</row>
    <row r="1112" spans="3:67" s="1" customFormat="1" hidden="1">
      <c r="C1112" s="14"/>
      <c r="F1112" s="17"/>
      <c r="G1112" s="18"/>
      <c r="T1112" s="9"/>
      <c r="U1112" s="9"/>
      <c r="V1112" s="9"/>
      <c r="AO1112"/>
      <c r="AP1112"/>
      <c r="AQ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</row>
    <row r="1113" spans="3:67" s="1" customFormat="1" hidden="1">
      <c r="C1113" s="14"/>
      <c r="F1113" s="17"/>
      <c r="G1113" s="18"/>
      <c r="T1113" s="9"/>
      <c r="U1113" s="9"/>
      <c r="V1113" s="9"/>
      <c r="AO1113"/>
      <c r="AP1113"/>
      <c r="AQ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</row>
    <row r="1114" spans="3:67" s="1" customFormat="1" hidden="1">
      <c r="C1114" s="14"/>
      <c r="F1114" s="17"/>
      <c r="G1114" s="18"/>
      <c r="T1114" s="9"/>
      <c r="U1114" s="9"/>
      <c r="V1114" s="9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</row>
    <row r="1115" spans="3:67" s="1" customFormat="1" hidden="1">
      <c r="C1115" s="14"/>
      <c r="F1115" s="17"/>
      <c r="G1115" s="18"/>
      <c r="T1115" s="9"/>
      <c r="U1115" s="9"/>
      <c r="V1115" s="9"/>
      <c r="AO1115"/>
      <c r="AP1115"/>
      <c r="AQ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</row>
    <row r="1116" spans="3:67" s="1" customFormat="1" hidden="1">
      <c r="C1116" s="14"/>
      <c r="F1116" s="17"/>
      <c r="G1116" s="18"/>
      <c r="T1116" s="9"/>
      <c r="U1116" s="9"/>
      <c r="V1116" s="9"/>
      <c r="AO1116"/>
      <c r="AP1116"/>
      <c r="AQ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</row>
    <row r="1117" spans="3:67" s="1" customFormat="1" hidden="1">
      <c r="C1117" s="14"/>
      <c r="F1117" s="17"/>
      <c r="G1117" s="18"/>
      <c r="T1117" s="9"/>
      <c r="U1117" s="9"/>
      <c r="V1117" s="9"/>
      <c r="AO1117"/>
      <c r="AP1117"/>
      <c r="AQ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</row>
    <row r="1118" spans="3:67" s="1" customFormat="1" hidden="1">
      <c r="C1118" s="14"/>
      <c r="F1118" s="17"/>
      <c r="G1118" s="18"/>
      <c r="T1118" s="9"/>
      <c r="U1118" s="9"/>
      <c r="V1118" s="9"/>
      <c r="AO1118"/>
      <c r="AP1118"/>
      <c r="AQ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</row>
    <row r="1119" spans="3:67" s="1" customFormat="1" hidden="1">
      <c r="C1119" s="14"/>
      <c r="F1119" s="17"/>
      <c r="G1119" s="18"/>
      <c r="T1119" s="9"/>
      <c r="U1119" s="9"/>
      <c r="V1119" s="9"/>
      <c r="AO1119"/>
      <c r="AP1119"/>
      <c r="AQ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</row>
    <row r="1120" spans="3:67" s="1" customFormat="1" hidden="1">
      <c r="C1120" s="14"/>
      <c r="F1120" s="17"/>
      <c r="G1120" s="18"/>
      <c r="T1120" s="9"/>
      <c r="U1120" s="9"/>
      <c r="V1120" s="9"/>
      <c r="AO1120"/>
      <c r="AP1120"/>
      <c r="AQ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</row>
    <row r="1121" spans="3:67" s="1" customFormat="1" hidden="1">
      <c r="C1121" s="14"/>
      <c r="F1121" s="17"/>
      <c r="G1121" s="18"/>
      <c r="T1121" s="9"/>
      <c r="U1121" s="9"/>
      <c r="V1121" s="9"/>
      <c r="AO1121"/>
      <c r="AP1121"/>
      <c r="AQ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</row>
    <row r="1122" spans="3:67" s="1" customFormat="1" hidden="1">
      <c r="C1122" s="14"/>
      <c r="F1122" s="17"/>
      <c r="G1122" s="18"/>
      <c r="T1122" s="9"/>
      <c r="U1122" s="9"/>
      <c r="V1122" s="9"/>
      <c r="AO1122"/>
      <c r="AP1122"/>
      <c r="AQ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</row>
    <row r="1123" spans="3:67" s="1" customFormat="1" hidden="1">
      <c r="C1123" s="14"/>
      <c r="F1123" s="17"/>
      <c r="G1123" s="18"/>
      <c r="T1123" s="9"/>
      <c r="U1123" s="9"/>
      <c r="V1123" s="9"/>
      <c r="AO1123"/>
      <c r="AP1123"/>
      <c r="AQ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</row>
    <row r="1124" spans="3:67" s="1" customFormat="1" hidden="1">
      <c r="C1124" s="14"/>
      <c r="F1124" s="17"/>
      <c r="G1124" s="18"/>
      <c r="T1124" s="9"/>
      <c r="U1124" s="9"/>
      <c r="V1124" s="9"/>
      <c r="AO1124"/>
      <c r="AP1124"/>
      <c r="AQ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</row>
    <row r="1125" spans="3:67" s="1" customFormat="1" hidden="1">
      <c r="C1125" s="14"/>
      <c r="F1125" s="17"/>
      <c r="G1125" s="18"/>
      <c r="T1125" s="9"/>
      <c r="U1125" s="9"/>
      <c r="V1125" s="9"/>
      <c r="AO1125"/>
      <c r="AP1125"/>
      <c r="AQ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</row>
    <row r="1126" spans="3:67" s="1" customFormat="1" hidden="1">
      <c r="C1126" s="14"/>
      <c r="F1126" s="17"/>
      <c r="G1126" s="18"/>
      <c r="T1126" s="9"/>
      <c r="U1126" s="9"/>
      <c r="V1126" s="9"/>
      <c r="AO1126"/>
      <c r="AP1126"/>
      <c r="AQ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</row>
    <row r="1127" spans="3:67" s="1" customFormat="1" hidden="1">
      <c r="C1127" s="14"/>
      <c r="F1127" s="17"/>
      <c r="G1127" s="18"/>
      <c r="T1127" s="9"/>
      <c r="U1127" s="9"/>
      <c r="V1127" s="9"/>
      <c r="AO1127"/>
      <c r="AP1127"/>
      <c r="AQ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</row>
    <row r="1128" spans="3:67" s="1" customFormat="1" hidden="1">
      <c r="C1128" s="14"/>
      <c r="F1128" s="17"/>
      <c r="G1128" s="18"/>
      <c r="T1128" s="9"/>
      <c r="U1128" s="9"/>
      <c r="V1128" s="9"/>
      <c r="AO1128"/>
      <c r="AP1128"/>
      <c r="AQ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</row>
    <row r="1129" spans="3:67" s="1" customFormat="1" hidden="1">
      <c r="C1129" s="14"/>
      <c r="F1129" s="17"/>
      <c r="G1129" s="18"/>
      <c r="T1129" s="9"/>
      <c r="U1129" s="9"/>
      <c r="V1129" s="9"/>
      <c r="AO1129"/>
      <c r="AP1129"/>
      <c r="AQ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</row>
    <row r="1130" spans="3:67" s="1" customFormat="1" hidden="1">
      <c r="C1130" s="14"/>
      <c r="F1130" s="17"/>
      <c r="G1130" s="18"/>
      <c r="T1130" s="9"/>
      <c r="U1130" s="9"/>
      <c r="V1130" s="9"/>
      <c r="AO1130"/>
      <c r="AP1130"/>
      <c r="AQ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</row>
    <row r="1131" spans="3:67" s="1" customFormat="1" hidden="1">
      <c r="C1131" s="14"/>
      <c r="F1131" s="17"/>
      <c r="G1131" s="18"/>
      <c r="T1131" s="9"/>
      <c r="U1131" s="9"/>
      <c r="V1131" s="9"/>
      <c r="AO1131"/>
      <c r="AP1131"/>
      <c r="AQ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</row>
    <row r="1132" spans="3:67" s="1" customFormat="1" hidden="1">
      <c r="C1132" s="14"/>
      <c r="F1132" s="17"/>
      <c r="G1132" s="18"/>
      <c r="T1132" s="9"/>
      <c r="U1132" s="9"/>
      <c r="V1132" s="9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</row>
    <row r="1133" spans="3:67" s="1" customFormat="1" hidden="1">
      <c r="C1133" s="14"/>
      <c r="F1133" s="17"/>
      <c r="G1133" s="18"/>
      <c r="T1133" s="9"/>
      <c r="U1133" s="9"/>
      <c r="V1133" s="9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</row>
    <row r="1134" spans="3:67" s="1" customFormat="1" hidden="1">
      <c r="C1134" s="14"/>
      <c r="F1134" s="17"/>
      <c r="G1134" s="18"/>
      <c r="T1134" s="9"/>
      <c r="U1134" s="9"/>
      <c r="V1134" s="9"/>
      <c r="AO1134"/>
      <c r="AP1134"/>
      <c r="AQ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</row>
    <row r="1135" spans="3:67" s="1" customFormat="1" hidden="1">
      <c r="C1135" s="14"/>
      <c r="F1135" s="17"/>
      <c r="G1135" s="18"/>
      <c r="T1135" s="9"/>
      <c r="U1135" s="9"/>
      <c r="V1135" s="9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</row>
    <row r="1136" spans="3:67" s="1" customFormat="1" hidden="1">
      <c r="C1136" s="14"/>
      <c r="F1136" s="17"/>
      <c r="G1136" s="18"/>
      <c r="T1136" s="9"/>
      <c r="U1136" s="9"/>
      <c r="V1136" s="9"/>
      <c r="AO1136"/>
      <c r="AP1136"/>
      <c r="AQ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</row>
    <row r="1137" spans="3:67" s="1" customFormat="1" hidden="1">
      <c r="C1137" s="14"/>
      <c r="F1137" s="17"/>
      <c r="G1137" s="18"/>
      <c r="T1137" s="9"/>
      <c r="U1137" s="9"/>
      <c r="V1137" s="9"/>
      <c r="AO1137"/>
      <c r="AP1137"/>
      <c r="AQ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</row>
    <row r="1138" spans="3:67" s="1" customFormat="1" hidden="1">
      <c r="C1138" s="14"/>
      <c r="F1138" s="17"/>
      <c r="G1138" s="18"/>
      <c r="T1138" s="9"/>
      <c r="U1138" s="9"/>
      <c r="V1138" s="9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</row>
    <row r="1139" spans="3:67" s="1" customFormat="1" hidden="1">
      <c r="C1139" s="14"/>
      <c r="F1139" s="17"/>
      <c r="G1139" s="18"/>
      <c r="T1139" s="9"/>
      <c r="U1139" s="9"/>
      <c r="V1139" s="9"/>
      <c r="AO1139"/>
      <c r="AP1139"/>
      <c r="AQ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</row>
    <row r="1140" spans="3:67" s="1" customFormat="1" hidden="1">
      <c r="C1140" s="14"/>
      <c r="F1140" s="17"/>
      <c r="G1140" s="18"/>
      <c r="T1140" s="9"/>
      <c r="U1140" s="9"/>
      <c r="V1140" s="9"/>
      <c r="AO1140"/>
      <c r="AP1140"/>
      <c r="AQ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</row>
    <row r="1141" spans="3:67" s="1" customFormat="1" hidden="1">
      <c r="C1141" s="14"/>
      <c r="F1141" s="17"/>
      <c r="G1141" s="18"/>
      <c r="T1141" s="9"/>
      <c r="U1141" s="9"/>
      <c r="V1141" s="9"/>
      <c r="AO1141"/>
      <c r="AP1141"/>
      <c r="AQ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</row>
    <row r="1142" spans="3:67" s="1" customFormat="1" hidden="1">
      <c r="C1142" s="14"/>
      <c r="F1142" s="17"/>
      <c r="G1142" s="18"/>
      <c r="T1142" s="9"/>
      <c r="U1142" s="9"/>
      <c r="V1142" s="9"/>
      <c r="AO1142"/>
      <c r="AP1142"/>
      <c r="AQ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</row>
    <row r="1143" spans="3:67" s="1" customFormat="1" hidden="1">
      <c r="C1143" s="14"/>
      <c r="F1143" s="17"/>
      <c r="G1143" s="18"/>
      <c r="T1143" s="9"/>
      <c r="U1143" s="9"/>
      <c r="V1143" s="9"/>
      <c r="AO1143"/>
      <c r="AP1143"/>
      <c r="AQ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</row>
    <row r="1144" spans="3:67" s="1" customFormat="1" hidden="1">
      <c r="C1144" s="14"/>
      <c r="F1144" s="17"/>
      <c r="G1144" s="18"/>
      <c r="T1144" s="9"/>
      <c r="U1144" s="9"/>
      <c r="V1144" s="9"/>
      <c r="AO1144"/>
      <c r="AP1144"/>
      <c r="AQ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</row>
    <row r="1145" spans="3:67" s="1" customFormat="1" hidden="1">
      <c r="C1145" s="14"/>
      <c r="F1145" s="17"/>
      <c r="G1145" s="18"/>
      <c r="T1145" s="9"/>
      <c r="U1145" s="9"/>
      <c r="V1145" s="9"/>
      <c r="AO1145"/>
      <c r="AP1145"/>
      <c r="AQ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</row>
    <row r="1146" spans="3:67" s="1" customFormat="1" hidden="1">
      <c r="C1146" s="14"/>
      <c r="F1146" s="17"/>
      <c r="G1146" s="18"/>
      <c r="T1146" s="9"/>
      <c r="U1146" s="9"/>
      <c r="V1146" s="9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</row>
    <row r="1147" spans="3:67" s="1" customFormat="1" hidden="1">
      <c r="C1147" s="14"/>
      <c r="F1147" s="17"/>
      <c r="G1147" s="18"/>
      <c r="T1147" s="9"/>
      <c r="U1147" s="9"/>
      <c r="V1147" s="9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</row>
    <row r="1148" spans="3:67" s="1" customFormat="1" hidden="1">
      <c r="C1148" s="14"/>
      <c r="F1148" s="17"/>
      <c r="G1148" s="18"/>
      <c r="T1148" s="9"/>
      <c r="U1148" s="9"/>
      <c r="V1148" s="9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</row>
    <row r="1149" spans="3:67" s="1" customFormat="1" hidden="1">
      <c r="C1149" s="14"/>
      <c r="F1149" s="17"/>
      <c r="G1149" s="18"/>
      <c r="T1149" s="9"/>
      <c r="U1149" s="9"/>
      <c r="V1149" s="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</row>
    <row r="1150" spans="3:67" s="1" customFormat="1" hidden="1">
      <c r="C1150" s="14"/>
      <c r="F1150" s="17"/>
      <c r="G1150" s="18"/>
      <c r="T1150" s="9"/>
      <c r="U1150" s="9"/>
      <c r="V1150" s="9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</row>
    <row r="1151" spans="3:67" s="1" customFormat="1" hidden="1">
      <c r="C1151" s="14"/>
      <c r="F1151" s="17"/>
      <c r="G1151" s="18"/>
      <c r="T1151" s="9"/>
      <c r="U1151" s="9"/>
      <c r="V1151" s="9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</row>
    <row r="1152" spans="3:67" s="1" customFormat="1" hidden="1">
      <c r="C1152" s="14"/>
      <c r="F1152" s="17"/>
      <c r="G1152" s="18"/>
      <c r="T1152" s="9"/>
      <c r="U1152" s="9"/>
      <c r="V1152" s="9"/>
      <c r="AO1152"/>
      <c r="AP1152"/>
      <c r="AQ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</row>
    <row r="1153" spans="3:67" s="1" customFormat="1" hidden="1">
      <c r="C1153" s="14"/>
      <c r="F1153" s="17"/>
      <c r="G1153" s="18"/>
      <c r="T1153" s="9"/>
      <c r="U1153" s="9"/>
      <c r="V1153" s="9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</row>
    <row r="1154" spans="3:67" s="1" customFormat="1" hidden="1">
      <c r="C1154" s="14"/>
      <c r="F1154" s="17"/>
      <c r="G1154" s="18"/>
      <c r="T1154" s="9"/>
      <c r="U1154" s="9"/>
      <c r="V1154" s="9"/>
      <c r="AO1154"/>
      <c r="AP1154"/>
      <c r="AQ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</row>
    <row r="1155" spans="3:67" s="1" customFormat="1" hidden="1">
      <c r="C1155" s="14"/>
      <c r="F1155" s="17"/>
      <c r="G1155" s="18"/>
      <c r="T1155" s="9"/>
      <c r="U1155" s="9"/>
      <c r="V1155" s="9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</row>
    <row r="1156" spans="3:67" s="1" customFormat="1" hidden="1">
      <c r="C1156" s="14"/>
      <c r="F1156" s="17"/>
      <c r="G1156" s="18"/>
      <c r="T1156" s="9"/>
      <c r="U1156" s="9"/>
      <c r="V1156" s="9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</row>
    <row r="1157" spans="3:67" s="1" customFormat="1" hidden="1">
      <c r="C1157" s="14"/>
      <c r="F1157" s="17"/>
      <c r="G1157" s="18"/>
      <c r="T1157" s="9"/>
      <c r="U1157" s="9"/>
      <c r="V1157" s="9"/>
      <c r="AO1157"/>
      <c r="AP1157"/>
      <c r="AQ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</row>
    <row r="1158" spans="3:67" s="1" customFormat="1" hidden="1">
      <c r="C1158" s="14"/>
      <c r="F1158" s="17"/>
      <c r="G1158" s="18"/>
      <c r="T1158" s="9"/>
      <c r="U1158" s="9"/>
      <c r="V1158" s="9"/>
      <c r="AO1158"/>
      <c r="AP1158"/>
      <c r="AQ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</row>
    <row r="1159" spans="3:67" s="1" customFormat="1" hidden="1">
      <c r="C1159" s="14"/>
      <c r="F1159" s="17"/>
      <c r="G1159" s="18"/>
      <c r="T1159" s="9"/>
      <c r="U1159" s="9"/>
      <c r="V1159" s="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</row>
    <row r="1160" spans="3:67" s="1" customFormat="1" hidden="1">
      <c r="C1160" s="14"/>
      <c r="F1160" s="17"/>
      <c r="G1160" s="18"/>
      <c r="T1160" s="9"/>
      <c r="U1160" s="9"/>
      <c r="V1160" s="9"/>
      <c r="AO1160"/>
      <c r="AP1160"/>
      <c r="AQ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</row>
    <row r="1161" spans="3:67" s="1" customFormat="1" hidden="1">
      <c r="C1161" s="14"/>
      <c r="F1161" s="17"/>
      <c r="G1161" s="18"/>
      <c r="T1161" s="9"/>
      <c r="U1161" s="9"/>
      <c r="V1161" s="9"/>
      <c r="AO1161"/>
      <c r="AP1161"/>
      <c r="AQ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</row>
    <row r="1162" spans="3:67" s="1" customFormat="1" hidden="1">
      <c r="C1162" s="14"/>
      <c r="F1162" s="17"/>
      <c r="G1162" s="18"/>
      <c r="T1162" s="9"/>
      <c r="U1162" s="9"/>
      <c r="V1162" s="9"/>
      <c r="AO1162"/>
      <c r="AP1162"/>
      <c r="AQ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</row>
    <row r="1163" spans="3:67" s="1" customFormat="1" hidden="1">
      <c r="C1163" s="14"/>
      <c r="F1163" s="17"/>
      <c r="G1163" s="18"/>
      <c r="T1163" s="9"/>
      <c r="U1163" s="9"/>
      <c r="V1163" s="9"/>
      <c r="AO1163"/>
      <c r="AP1163"/>
      <c r="AQ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</row>
    <row r="1164" spans="3:67" s="1" customFormat="1" hidden="1">
      <c r="C1164" s="14"/>
      <c r="F1164" s="17"/>
      <c r="G1164" s="18"/>
      <c r="T1164" s="9"/>
      <c r="U1164" s="9"/>
      <c r="V1164" s="9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</row>
    <row r="1165" spans="3:67" s="1" customFormat="1" hidden="1">
      <c r="C1165" s="14"/>
      <c r="F1165" s="17"/>
      <c r="G1165" s="18"/>
      <c r="T1165" s="9"/>
      <c r="U1165" s="9"/>
      <c r="V1165" s="9"/>
      <c r="AO1165"/>
      <c r="AP1165"/>
      <c r="AQ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</row>
    <row r="1166" spans="3:67" s="1" customFormat="1" hidden="1">
      <c r="C1166" s="14"/>
      <c r="F1166" s="17"/>
      <c r="G1166" s="18"/>
      <c r="T1166" s="9"/>
      <c r="U1166" s="9"/>
      <c r="V1166" s="9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</row>
    <row r="1167" spans="3:67" s="1" customFormat="1" hidden="1">
      <c r="C1167" s="14"/>
      <c r="F1167" s="17"/>
      <c r="G1167" s="18"/>
      <c r="T1167" s="9"/>
      <c r="U1167" s="9"/>
      <c r="V1167" s="9"/>
      <c r="AO1167"/>
      <c r="AP1167"/>
      <c r="AQ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</row>
    <row r="1168" spans="3:67" s="1" customFormat="1" hidden="1">
      <c r="C1168" s="14"/>
      <c r="F1168" s="17"/>
      <c r="G1168" s="18"/>
      <c r="T1168" s="9"/>
      <c r="U1168" s="9"/>
      <c r="V1168" s="9"/>
      <c r="AO1168"/>
      <c r="AP1168"/>
      <c r="AQ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</row>
    <row r="1169" spans="3:67" s="1" customFormat="1" hidden="1">
      <c r="C1169" s="14"/>
      <c r="F1169" s="17"/>
      <c r="G1169" s="18"/>
      <c r="T1169" s="9"/>
      <c r="U1169" s="9"/>
      <c r="V1169" s="9"/>
      <c r="AO1169"/>
      <c r="AP1169"/>
      <c r="AQ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</row>
    <row r="1170" spans="3:67" s="1" customFormat="1" hidden="1">
      <c r="C1170" s="14"/>
      <c r="F1170" s="17"/>
      <c r="G1170" s="18"/>
      <c r="T1170" s="9"/>
      <c r="U1170" s="9"/>
      <c r="V1170" s="9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</row>
    <row r="1171" spans="3:67" s="1" customFormat="1" hidden="1">
      <c r="C1171" s="14"/>
      <c r="F1171" s="17"/>
      <c r="G1171" s="18"/>
      <c r="T1171" s="9"/>
      <c r="U1171" s="9"/>
      <c r="V1171" s="9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</row>
    <row r="1172" spans="3:67" s="1" customFormat="1" hidden="1">
      <c r="C1172" s="14"/>
      <c r="F1172" s="17"/>
      <c r="G1172" s="18"/>
      <c r="T1172" s="9"/>
      <c r="U1172" s="9"/>
      <c r="V1172" s="9"/>
      <c r="AO1172"/>
      <c r="AP1172"/>
      <c r="AQ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</row>
    <row r="1173" spans="3:67" s="1" customFormat="1" hidden="1">
      <c r="C1173" s="14"/>
      <c r="F1173" s="17"/>
      <c r="G1173" s="18"/>
      <c r="T1173" s="9"/>
      <c r="U1173" s="9"/>
      <c r="V1173" s="9"/>
      <c r="AO1173"/>
      <c r="AP1173"/>
      <c r="AQ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</row>
    <row r="1174" spans="3:67" s="1" customFormat="1" hidden="1">
      <c r="C1174" s="14"/>
      <c r="F1174" s="17"/>
      <c r="G1174" s="18"/>
      <c r="T1174" s="9"/>
      <c r="U1174" s="9"/>
      <c r="V1174" s="9"/>
      <c r="AO1174"/>
      <c r="AP1174"/>
      <c r="AQ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</row>
    <row r="1175" spans="3:67" s="1" customFormat="1" hidden="1">
      <c r="C1175" s="14"/>
      <c r="F1175" s="17"/>
      <c r="G1175" s="18"/>
      <c r="T1175" s="9"/>
      <c r="U1175" s="9"/>
      <c r="V1175" s="9"/>
      <c r="AO1175"/>
      <c r="AP1175"/>
      <c r="AQ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</row>
    <row r="1176" spans="3:67" s="1" customFormat="1" hidden="1">
      <c r="C1176" s="14"/>
      <c r="F1176" s="17"/>
      <c r="G1176" s="18"/>
      <c r="T1176" s="9"/>
      <c r="U1176" s="9"/>
      <c r="V1176" s="9"/>
      <c r="AO1176"/>
      <c r="AP1176"/>
      <c r="AQ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</row>
    <row r="1177" spans="3:67" s="1" customFormat="1" hidden="1">
      <c r="C1177" s="14"/>
      <c r="F1177" s="17"/>
      <c r="G1177" s="18"/>
      <c r="T1177" s="9"/>
      <c r="U1177" s="9"/>
      <c r="V1177" s="9"/>
      <c r="AO1177"/>
      <c r="AP1177"/>
      <c r="AQ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</row>
    <row r="1178" spans="3:67" s="1" customFormat="1" hidden="1">
      <c r="C1178" s="14"/>
      <c r="F1178" s="17"/>
      <c r="G1178" s="18"/>
      <c r="T1178" s="9"/>
      <c r="U1178" s="9"/>
      <c r="V1178" s="9"/>
      <c r="AO1178"/>
      <c r="AP1178"/>
      <c r="AQ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</row>
    <row r="1179" spans="3:67" s="1" customFormat="1" hidden="1">
      <c r="C1179" s="14"/>
      <c r="F1179" s="17"/>
      <c r="G1179" s="18"/>
      <c r="T1179" s="9"/>
      <c r="U1179" s="9"/>
      <c r="V1179" s="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</row>
    <row r="1180" spans="3:67" s="1" customFormat="1" hidden="1">
      <c r="C1180" s="14"/>
      <c r="F1180" s="17"/>
      <c r="G1180" s="18"/>
      <c r="T1180" s="9"/>
      <c r="U1180" s="9"/>
      <c r="V1180" s="9"/>
      <c r="AO1180"/>
      <c r="AP1180"/>
      <c r="AQ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</row>
    <row r="1181" spans="3:67" s="1" customFormat="1" hidden="1">
      <c r="C1181" s="14"/>
      <c r="F1181" s="17"/>
      <c r="G1181" s="18"/>
      <c r="T1181" s="9"/>
      <c r="U1181" s="9"/>
      <c r="V1181" s="9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</row>
    <row r="1182" spans="3:67" s="1" customFormat="1" hidden="1">
      <c r="C1182" s="14"/>
      <c r="F1182" s="17"/>
      <c r="G1182" s="18"/>
      <c r="T1182" s="9"/>
      <c r="U1182" s="9"/>
      <c r="V1182" s="9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</row>
    <row r="1183" spans="3:67" s="1" customFormat="1" hidden="1">
      <c r="C1183" s="14"/>
      <c r="F1183" s="17"/>
      <c r="G1183" s="18"/>
      <c r="T1183" s="9"/>
      <c r="U1183" s="9"/>
      <c r="V1183" s="9"/>
      <c r="AO1183"/>
      <c r="AP1183"/>
      <c r="AQ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</row>
    <row r="1184" spans="3:67" s="1" customFormat="1" hidden="1">
      <c r="C1184" s="14"/>
      <c r="F1184" s="17"/>
      <c r="G1184" s="18"/>
      <c r="T1184" s="9"/>
      <c r="U1184" s="9"/>
      <c r="V1184" s="9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</row>
    <row r="1185" spans="3:67" s="1" customFormat="1" hidden="1">
      <c r="C1185" s="14"/>
      <c r="F1185" s="17"/>
      <c r="G1185" s="18"/>
      <c r="T1185" s="9"/>
      <c r="U1185" s="9"/>
      <c r="V1185" s="9"/>
      <c r="AO1185"/>
      <c r="AP1185"/>
      <c r="AQ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</row>
    <row r="1186" spans="3:67" s="1" customFormat="1" hidden="1">
      <c r="C1186" s="14"/>
      <c r="F1186" s="17"/>
      <c r="G1186" s="18"/>
      <c r="T1186" s="9"/>
      <c r="U1186" s="9"/>
      <c r="V1186" s="9"/>
      <c r="AO1186"/>
      <c r="AP1186"/>
      <c r="AQ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</row>
    <row r="1187" spans="3:67" s="1" customFormat="1" hidden="1">
      <c r="C1187" s="14"/>
      <c r="F1187" s="17"/>
      <c r="G1187" s="18"/>
      <c r="T1187" s="9"/>
      <c r="U1187" s="9"/>
      <c r="V1187" s="9"/>
      <c r="AO1187"/>
      <c r="AP1187"/>
      <c r="AQ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</row>
    <row r="1188" spans="3:67" s="1" customFormat="1" hidden="1">
      <c r="C1188" s="14"/>
      <c r="F1188" s="17"/>
      <c r="G1188" s="18"/>
      <c r="T1188" s="9"/>
      <c r="U1188" s="9"/>
      <c r="V1188" s="9"/>
      <c r="AO1188"/>
      <c r="AP1188"/>
      <c r="AQ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</row>
    <row r="1189" spans="3:67" s="1" customFormat="1" hidden="1">
      <c r="C1189" s="14"/>
      <c r="F1189" s="17"/>
      <c r="G1189" s="18"/>
      <c r="T1189" s="9"/>
      <c r="U1189" s="9"/>
      <c r="V1189" s="9"/>
      <c r="AO1189"/>
      <c r="AP1189"/>
      <c r="AQ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</row>
    <row r="1190" spans="3:67" s="1" customFormat="1" hidden="1">
      <c r="C1190" s="14"/>
      <c r="F1190" s="17"/>
      <c r="G1190" s="18"/>
      <c r="T1190" s="9"/>
      <c r="U1190" s="9"/>
      <c r="V1190" s="9"/>
      <c r="AO1190"/>
      <c r="AP1190"/>
      <c r="AQ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</row>
    <row r="1191" spans="3:67" s="1" customFormat="1" hidden="1">
      <c r="C1191" s="14"/>
      <c r="F1191" s="17"/>
      <c r="G1191" s="18"/>
      <c r="T1191" s="9"/>
      <c r="U1191" s="9"/>
      <c r="V1191" s="9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</row>
    <row r="1192" spans="3:67" s="1" customFormat="1" hidden="1">
      <c r="C1192" s="14"/>
      <c r="F1192" s="17"/>
      <c r="G1192" s="18"/>
      <c r="T1192" s="9"/>
      <c r="U1192" s="9"/>
      <c r="V1192" s="9"/>
      <c r="AO1192"/>
      <c r="AP1192"/>
      <c r="AQ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</row>
    <row r="1193" spans="3:67" s="1" customFormat="1" hidden="1">
      <c r="C1193" s="14"/>
      <c r="F1193" s="17"/>
      <c r="G1193" s="18"/>
      <c r="T1193" s="9"/>
      <c r="U1193" s="9"/>
      <c r="V1193" s="9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</row>
    <row r="1194" spans="3:67" s="1" customFormat="1" hidden="1">
      <c r="C1194" s="14"/>
      <c r="F1194" s="17"/>
      <c r="G1194" s="18"/>
      <c r="T1194" s="9"/>
      <c r="U1194" s="9"/>
      <c r="V1194" s="9"/>
      <c r="AO1194"/>
      <c r="AP1194"/>
      <c r="AQ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</row>
    <row r="1195" spans="3:67" s="1" customFormat="1" hidden="1">
      <c r="C1195" s="14"/>
      <c r="F1195" s="17"/>
      <c r="G1195" s="18"/>
      <c r="T1195" s="9"/>
      <c r="U1195" s="9"/>
      <c r="V1195" s="9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</row>
    <row r="1196" spans="3:67" s="1" customFormat="1" hidden="1">
      <c r="C1196" s="14"/>
      <c r="F1196" s="17"/>
      <c r="G1196" s="18"/>
      <c r="T1196" s="9"/>
      <c r="U1196" s="9"/>
      <c r="V1196" s="9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</row>
    <row r="1197" spans="3:67" s="1" customFormat="1" hidden="1">
      <c r="C1197" s="14"/>
      <c r="F1197" s="17"/>
      <c r="G1197" s="18"/>
      <c r="T1197" s="9"/>
      <c r="U1197" s="9"/>
      <c r="V1197" s="9"/>
      <c r="AO1197"/>
      <c r="AP1197"/>
      <c r="AQ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</row>
    <row r="1198" spans="3:67" s="1" customFormat="1" hidden="1">
      <c r="C1198" s="14"/>
      <c r="F1198" s="17"/>
      <c r="G1198" s="18"/>
      <c r="T1198" s="9"/>
      <c r="U1198" s="9"/>
      <c r="V1198" s="9"/>
      <c r="AO1198"/>
      <c r="AP1198"/>
      <c r="AQ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</row>
    <row r="1199" spans="3:67" s="1" customFormat="1" hidden="1">
      <c r="C1199" s="14"/>
      <c r="F1199" s="17"/>
      <c r="G1199" s="18"/>
      <c r="T1199" s="9"/>
      <c r="U1199" s="9"/>
      <c r="V1199" s="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</row>
    <row r="1200" spans="3:67" s="1" customFormat="1" hidden="1">
      <c r="C1200" s="14"/>
      <c r="F1200" s="17"/>
      <c r="G1200" s="18"/>
      <c r="T1200" s="9"/>
      <c r="U1200" s="9"/>
      <c r="V1200" s="9"/>
      <c r="AO1200"/>
      <c r="AP1200"/>
      <c r="AQ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</row>
    <row r="1201" spans="3:67" s="1" customFormat="1" hidden="1">
      <c r="C1201" s="14"/>
      <c r="F1201" s="17"/>
      <c r="G1201" s="18"/>
      <c r="T1201" s="9"/>
      <c r="U1201" s="9"/>
      <c r="V1201" s="9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</row>
    <row r="1202" spans="3:67" s="1" customFormat="1" hidden="1">
      <c r="C1202" s="14"/>
      <c r="F1202" s="17"/>
      <c r="G1202" s="18"/>
      <c r="T1202" s="9"/>
      <c r="U1202" s="9"/>
      <c r="V1202" s="9"/>
      <c r="AO1202"/>
      <c r="AP1202"/>
      <c r="AQ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</row>
    <row r="1203" spans="3:67" s="1" customFormat="1" hidden="1">
      <c r="C1203" s="14"/>
      <c r="F1203" s="17"/>
      <c r="G1203" s="18"/>
      <c r="T1203" s="9"/>
      <c r="U1203" s="9"/>
      <c r="V1203" s="9"/>
      <c r="AO1203"/>
      <c r="AP1203"/>
      <c r="AQ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</row>
    <row r="1204" spans="3:67" s="1" customFormat="1" hidden="1">
      <c r="C1204" s="14"/>
      <c r="F1204" s="17"/>
      <c r="G1204" s="18"/>
      <c r="T1204" s="9"/>
      <c r="U1204" s="9"/>
      <c r="V1204" s="9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</row>
    <row r="1205" spans="3:67" s="1" customFormat="1" hidden="1">
      <c r="C1205" s="14"/>
      <c r="F1205" s="17"/>
      <c r="G1205" s="18"/>
      <c r="T1205" s="9"/>
      <c r="U1205" s="9"/>
      <c r="V1205" s="9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</row>
    <row r="1206" spans="3:67" s="1" customFormat="1" hidden="1">
      <c r="C1206" s="14"/>
      <c r="F1206" s="17"/>
      <c r="G1206" s="18"/>
      <c r="T1206" s="9"/>
      <c r="U1206" s="9"/>
      <c r="V1206" s="9"/>
      <c r="AO1206"/>
      <c r="AP1206"/>
      <c r="AQ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</row>
    <row r="1207" spans="3:67" s="1" customFormat="1" hidden="1">
      <c r="C1207" s="14"/>
      <c r="F1207" s="17"/>
      <c r="G1207" s="18"/>
      <c r="T1207" s="9"/>
      <c r="U1207" s="9"/>
      <c r="V1207" s="9"/>
      <c r="AO1207"/>
      <c r="AP1207"/>
      <c r="AQ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</row>
    <row r="1208" spans="3:67" s="1" customFormat="1" hidden="1">
      <c r="C1208" s="14"/>
      <c r="F1208" s="17"/>
      <c r="G1208" s="18"/>
      <c r="T1208" s="9"/>
      <c r="U1208" s="9"/>
      <c r="V1208" s="9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</row>
    <row r="1209" spans="3:67" s="1" customFormat="1" hidden="1">
      <c r="C1209" s="14"/>
      <c r="F1209" s="17"/>
      <c r="G1209" s="18"/>
      <c r="T1209" s="9"/>
      <c r="U1209" s="9"/>
      <c r="V1209" s="9"/>
      <c r="AO1209"/>
      <c r="AP1209"/>
      <c r="AQ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</row>
    <row r="1210" spans="3:67" s="1" customFormat="1" hidden="1">
      <c r="C1210" s="14"/>
      <c r="F1210" s="17"/>
      <c r="G1210" s="18"/>
      <c r="T1210" s="9"/>
      <c r="U1210" s="9"/>
      <c r="V1210" s="9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</row>
    <row r="1211" spans="3:67" s="1" customFormat="1" hidden="1">
      <c r="C1211" s="14"/>
      <c r="F1211" s="17"/>
      <c r="G1211" s="18"/>
      <c r="T1211" s="9"/>
      <c r="U1211" s="9"/>
      <c r="V1211" s="9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</row>
    <row r="1212" spans="3:67" s="1" customFormat="1" hidden="1">
      <c r="C1212" s="14"/>
      <c r="F1212" s="17"/>
      <c r="G1212" s="18"/>
      <c r="T1212" s="9"/>
      <c r="U1212" s="9"/>
      <c r="V1212" s="9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</row>
    <row r="1213" spans="3:67" s="1" customFormat="1" hidden="1">
      <c r="C1213" s="14"/>
      <c r="F1213" s="17"/>
      <c r="G1213" s="18"/>
      <c r="T1213" s="9"/>
      <c r="U1213" s="9"/>
      <c r="V1213" s="9"/>
      <c r="AO1213"/>
      <c r="AP1213"/>
      <c r="AQ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</row>
    <row r="1214" spans="3:67" s="1" customFormat="1" hidden="1">
      <c r="C1214" s="14"/>
      <c r="F1214" s="17"/>
      <c r="G1214" s="18"/>
      <c r="T1214" s="9"/>
      <c r="U1214" s="9"/>
      <c r="V1214" s="9"/>
      <c r="AO1214"/>
      <c r="AP1214"/>
      <c r="AQ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</row>
    <row r="1215" spans="3:67" s="1" customFormat="1" hidden="1">
      <c r="C1215" s="14"/>
      <c r="F1215" s="17"/>
      <c r="G1215" s="18"/>
      <c r="T1215" s="9"/>
      <c r="U1215" s="9"/>
      <c r="V1215" s="9"/>
      <c r="AO1215"/>
      <c r="AP1215"/>
      <c r="AQ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</row>
    <row r="1216" spans="3:67" s="1" customFormat="1" hidden="1">
      <c r="C1216" s="14"/>
      <c r="F1216" s="17"/>
      <c r="G1216" s="18"/>
      <c r="T1216" s="9"/>
      <c r="U1216" s="9"/>
      <c r="V1216" s="9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</row>
    <row r="1217" spans="3:67" s="1" customFormat="1" hidden="1">
      <c r="C1217" s="14"/>
      <c r="F1217" s="17"/>
      <c r="G1217" s="18"/>
      <c r="T1217" s="9"/>
      <c r="U1217" s="9"/>
      <c r="V1217" s="9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</row>
    <row r="1218" spans="3:67" s="1" customFormat="1" hidden="1">
      <c r="C1218" s="14"/>
      <c r="F1218" s="17"/>
      <c r="G1218" s="18"/>
      <c r="T1218" s="9"/>
      <c r="U1218" s="9"/>
      <c r="V1218" s="9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</row>
    <row r="1219" spans="3:67" s="1" customFormat="1" hidden="1">
      <c r="C1219" s="14"/>
      <c r="F1219" s="17"/>
      <c r="G1219" s="18"/>
      <c r="T1219" s="9"/>
      <c r="U1219" s="9"/>
      <c r="V1219" s="9"/>
      <c r="AO1219"/>
      <c r="AP1219"/>
      <c r="AQ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</row>
    <row r="1220" spans="3:67" s="1" customFormat="1" hidden="1">
      <c r="C1220" s="14"/>
      <c r="F1220" s="17"/>
      <c r="G1220" s="18"/>
      <c r="T1220" s="9"/>
      <c r="U1220" s="9"/>
      <c r="V1220" s="9"/>
      <c r="AO1220"/>
      <c r="AP1220"/>
      <c r="AQ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</row>
    <row r="1221" spans="3:67" s="1" customFormat="1" hidden="1">
      <c r="C1221" s="14"/>
      <c r="F1221" s="17"/>
      <c r="G1221" s="18"/>
      <c r="T1221" s="9"/>
      <c r="U1221" s="9"/>
      <c r="V1221" s="9"/>
      <c r="AO1221"/>
      <c r="AP1221"/>
      <c r="AQ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</row>
    <row r="1222" spans="3:67" s="1" customFormat="1" hidden="1">
      <c r="C1222" s="14"/>
      <c r="F1222" s="17"/>
      <c r="G1222" s="18"/>
      <c r="T1222" s="9"/>
      <c r="U1222" s="9"/>
      <c r="V1222" s="9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</row>
    <row r="1223" spans="3:67" s="1" customFormat="1" hidden="1">
      <c r="C1223" s="14"/>
      <c r="F1223" s="17"/>
      <c r="G1223" s="18"/>
      <c r="T1223" s="9"/>
      <c r="U1223" s="9"/>
      <c r="V1223" s="9"/>
      <c r="AO1223"/>
      <c r="AP1223"/>
      <c r="AQ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</row>
    <row r="1224" spans="3:67" s="1" customFormat="1" hidden="1">
      <c r="C1224" s="14"/>
      <c r="F1224" s="17"/>
      <c r="G1224" s="18"/>
      <c r="T1224" s="9"/>
      <c r="U1224" s="9"/>
      <c r="V1224" s="9"/>
      <c r="AO1224"/>
      <c r="AP1224"/>
      <c r="AQ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</row>
    <row r="1225" spans="3:67" s="1" customFormat="1" hidden="1">
      <c r="C1225" s="14"/>
      <c r="F1225" s="17"/>
      <c r="G1225" s="18"/>
      <c r="T1225" s="9"/>
      <c r="U1225" s="9"/>
      <c r="V1225" s="9"/>
      <c r="AO1225"/>
      <c r="AP1225"/>
      <c r="AQ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</row>
    <row r="1226" spans="3:67" s="1" customFormat="1" hidden="1">
      <c r="C1226" s="14"/>
      <c r="F1226" s="17"/>
      <c r="G1226" s="18"/>
      <c r="T1226" s="9"/>
      <c r="U1226" s="9"/>
      <c r="V1226" s="9"/>
      <c r="AO1226"/>
      <c r="AP1226"/>
      <c r="AQ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</row>
    <row r="1227" spans="3:67" s="1" customFormat="1" hidden="1">
      <c r="C1227" s="14"/>
      <c r="F1227" s="17"/>
      <c r="G1227" s="18"/>
      <c r="T1227" s="9"/>
      <c r="U1227" s="9"/>
      <c r="V1227" s="9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</row>
    <row r="1228" spans="3:67" s="1" customFormat="1" hidden="1">
      <c r="C1228" s="14"/>
      <c r="F1228" s="17"/>
      <c r="G1228" s="18"/>
      <c r="T1228" s="9"/>
      <c r="U1228" s="9"/>
      <c r="V1228" s="9"/>
      <c r="AO1228"/>
      <c r="AP1228"/>
      <c r="AQ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</row>
    <row r="1229" spans="3:67" s="1" customFormat="1" hidden="1">
      <c r="C1229" s="14"/>
      <c r="F1229" s="17"/>
      <c r="G1229" s="18"/>
      <c r="T1229" s="9"/>
      <c r="U1229" s="9"/>
      <c r="V1229" s="9"/>
      <c r="AO1229"/>
      <c r="AP1229"/>
      <c r="AQ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</row>
    <row r="1230" spans="3:67" s="1" customFormat="1" hidden="1">
      <c r="C1230" s="14"/>
      <c r="F1230" s="17"/>
      <c r="G1230" s="18"/>
      <c r="T1230" s="9"/>
      <c r="U1230" s="9"/>
      <c r="V1230" s="9"/>
      <c r="AO1230"/>
      <c r="AP1230"/>
      <c r="AQ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</row>
    <row r="1231" spans="3:67" s="1" customFormat="1" hidden="1">
      <c r="C1231" s="14"/>
      <c r="F1231" s="17"/>
      <c r="G1231" s="18"/>
      <c r="T1231" s="9"/>
      <c r="U1231" s="9"/>
      <c r="V1231" s="9"/>
      <c r="AO1231"/>
      <c r="AP1231"/>
      <c r="AQ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</row>
    <row r="1232" spans="3:67" s="1" customFormat="1" hidden="1">
      <c r="C1232" s="14"/>
      <c r="F1232" s="17"/>
      <c r="G1232" s="18"/>
      <c r="T1232" s="9"/>
      <c r="U1232" s="9"/>
      <c r="V1232" s="9"/>
      <c r="AO1232"/>
      <c r="AP1232"/>
      <c r="AQ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</row>
    <row r="1233" spans="3:67" s="1" customFormat="1" hidden="1">
      <c r="C1233" s="14"/>
      <c r="F1233" s="17"/>
      <c r="G1233" s="18"/>
      <c r="T1233" s="9"/>
      <c r="U1233" s="9"/>
      <c r="V1233" s="9"/>
      <c r="AO1233"/>
      <c r="AP1233"/>
      <c r="AQ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</row>
    <row r="1234" spans="3:67" s="1" customFormat="1" hidden="1">
      <c r="C1234" s="14"/>
      <c r="F1234" s="17"/>
      <c r="G1234" s="18"/>
      <c r="T1234" s="9"/>
      <c r="U1234" s="9"/>
      <c r="V1234" s="9"/>
      <c r="AO1234"/>
      <c r="AP1234"/>
      <c r="AQ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</row>
    <row r="1235" spans="3:67" s="1" customFormat="1" hidden="1">
      <c r="C1235" s="14"/>
      <c r="F1235" s="17"/>
      <c r="G1235" s="18"/>
      <c r="T1235" s="9"/>
      <c r="U1235" s="9"/>
      <c r="V1235" s="9"/>
      <c r="AO1235"/>
      <c r="AP1235"/>
      <c r="AQ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</row>
    <row r="1236" spans="3:67" s="1" customFormat="1" hidden="1">
      <c r="C1236" s="14"/>
      <c r="F1236" s="17"/>
      <c r="G1236" s="18"/>
      <c r="T1236" s="9"/>
      <c r="U1236" s="9"/>
      <c r="V1236" s="9"/>
      <c r="AO1236"/>
      <c r="AP1236"/>
      <c r="AQ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</row>
    <row r="1237" spans="3:67" s="1" customFormat="1" hidden="1">
      <c r="C1237" s="14"/>
      <c r="F1237" s="17"/>
      <c r="G1237" s="18"/>
      <c r="T1237" s="9"/>
      <c r="U1237" s="9"/>
      <c r="V1237" s="9"/>
      <c r="AO1237"/>
      <c r="AP1237"/>
      <c r="AQ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</row>
    <row r="1238" spans="3:67" s="1" customFormat="1" hidden="1">
      <c r="C1238" s="14"/>
      <c r="F1238" s="17"/>
      <c r="G1238" s="18"/>
      <c r="T1238" s="9"/>
      <c r="U1238" s="9"/>
      <c r="V1238" s="9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</row>
    <row r="1239" spans="3:67" s="1" customFormat="1" hidden="1">
      <c r="C1239" s="14"/>
      <c r="F1239" s="17"/>
      <c r="G1239" s="18"/>
      <c r="T1239" s="9"/>
      <c r="U1239" s="9"/>
      <c r="V1239" s="9"/>
      <c r="AO1239"/>
      <c r="AP1239"/>
      <c r="AQ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</row>
    <row r="1240" spans="3:67" s="1" customFormat="1" hidden="1">
      <c r="C1240" s="14"/>
      <c r="F1240" s="17"/>
      <c r="G1240" s="18"/>
      <c r="T1240" s="9"/>
      <c r="U1240" s="9"/>
      <c r="V1240" s="9"/>
      <c r="AO1240"/>
      <c r="AP1240"/>
      <c r="AQ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</row>
    <row r="1241" spans="3:67" s="1" customFormat="1" hidden="1">
      <c r="C1241" s="14"/>
      <c r="F1241" s="17"/>
      <c r="G1241" s="18"/>
      <c r="T1241" s="9"/>
      <c r="U1241" s="9"/>
      <c r="V1241" s="9"/>
      <c r="AO1241"/>
      <c r="AP1241"/>
      <c r="AQ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</row>
    <row r="1242" spans="3:67" s="1" customFormat="1" hidden="1">
      <c r="C1242" s="14"/>
      <c r="F1242" s="17"/>
      <c r="G1242" s="18"/>
      <c r="T1242" s="9"/>
      <c r="U1242" s="9"/>
      <c r="V1242" s="9"/>
      <c r="AO1242"/>
      <c r="AP1242"/>
      <c r="AQ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</row>
    <row r="1243" spans="3:67" s="1" customFormat="1" hidden="1">
      <c r="C1243" s="14"/>
      <c r="F1243" s="17"/>
      <c r="G1243" s="18"/>
      <c r="T1243" s="9"/>
      <c r="U1243" s="9"/>
      <c r="V1243" s="9"/>
      <c r="AO1243"/>
      <c r="AP1243"/>
      <c r="AQ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</row>
    <row r="1244" spans="3:67" s="1" customFormat="1" hidden="1">
      <c r="C1244" s="14"/>
      <c r="F1244" s="17"/>
      <c r="G1244" s="18"/>
      <c r="T1244" s="9"/>
      <c r="U1244" s="9"/>
      <c r="V1244" s="9"/>
      <c r="AO1244"/>
      <c r="AP1244"/>
      <c r="AQ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</row>
    <row r="1245" spans="3:67" s="1" customFormat="1" hidden="1">
      <c r="C1245" s="14"/>
      <c r="F1245" s="17"/>
      <c r="G1245" s="18"/>
      <c r="T1245" s="9"/>
      <c r="U1245" s="9"/>
      <c r="V1245" s="9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</row>
    <row r="1246" spans="3:67" s="1" customFormat="1" hidden="1">
      <c r="C1246" s="14"/>
      <c r="F1246" s="17"/>
      <c r="G1246" s="18"/>
      <c r="T1246" s="9"/>
      <c r="U1246" s="9"/>
      <c r="V1246" s="9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</row>
    <row r="1247" spans="3:67" s="1" customFormat="1" hidden="1">
      <c r="C1247" s="14"/>
      <c r="F1247" s="17"/>
      <c r="G1247" s="18"/>
      <c r="T1247" s="9"/>
      <c r="U1247" s="9"/>
      <c r="V1247" s="9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</row>
    <row r="1248" spans="3:67" s="1" customFormat="1" hidden="1">
      <c r="C1248" s="14"/>
      <c r="F1248" s="17"/>
      <c r="G1248" s="18"/>
      <c r="T1248" s="9"/>
      <c r="U1248" s="9"/>
      <c r="V1248" s="9"/>
      <c r="AO1248"/>
      <c r="AP1248"/>
      <c r="AQ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</row>
    <row r="1249" spans="3:67" s="1" customFormat="1" hidden="1">
      <c r="C1249" s="14"/>
      <c r="F1249" s="17"/>
      <c r="G1249" s="18"/>
      <c r="T1249" s="9"/>
      <c r="U1249" s="9"/>
      <c r="V1249" s="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</row>
    <row r="1250" spans="3:67" s="1" customFormat="1" hidden="1">
      <c r="C1250" s="14"/>
      <c r="F1250" s="17"/>
      <c r="G1250" s="18"/>
      <c r="T1250" s="9"/>
      <c r="U1250" s="9"/>
      <c r="V1250" s="9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</row>
    <row r="1251" spans="3:67" s="1" customFormat="1" hidden="1">
      <c r="C1251" s="14"/>
      <c r="F1251" s="17"/>
      <c r="G1251" s="18"/>
      <c r="T1251" s="9"/>
      <c r="U1251" s="9"/>
      <c r="V1251" s="9"/>
      <c r="AO1251"/>
      <c r="AP1251"/>
      <c r="AQ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</row>
    <row r="1252" spans="3:67" s="1" customFormat="1" hidden="1">
      <c r="C1252" s="14"/>
      <c r="F1252" s="17"/>
      <c r="G1252" s="18"/>
      <c r="T1252" s="9"/>
      <c r="U1252" s="9"/>
      <c r="V1252" s="9"/>
      <c r="AO1252"/>
      <c r="AP1252"/>
      <c r="AQ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</row>
    <row r="1253" spans="3:67" s="1" customFormat="1" hidden="1">
      <c r="C1253" s="14"/>
      <c r="F1253" s="17"/>
      <c r="G1253" s="18"/>
      <c r="T1253" s="9"/>
      <c r="U1253" s="9"/>
      <c r="V1253" s="9"/>
      <c r="AO1253"/>
      <c r="AP1253"/>
      <c r="AQ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</row>
    <row r="1254" spans="3:67" s="1" customFormat="1" hidden="1">
      <c r="C1254" s="14"/>
      <c r="F1254" s="17"/>
      <c r="G1254" s="18"/>
      <c r="T1254" s="9"/>
      <c r="U1254" s="9"/>
      <c r="V1254" s="9"/>
      <c r="AO1254"/>
      <c r="AP1254"/>
      <c r="AQ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</row>
    <row r="1255" spans="3:67" s="1" customFormat="1" hidden="1">
      <c r="C1255" s="14"/>
      <c r="F1255" s="17"/>
      <c r="G1255" s="18"/>
      <c r="T1255" s="9"/>
      <c r="U1255" s="9"/>
      <c r="V1255" s="9"/>
      <c r="AO1255"/>
      <c r="AP1255"/>
      <c r="AQ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</row>
    <row r="1256" spans="3:67" s="1" customFormat="1" hidden="1">
      <c r="C1256" s="14"/>
      <c r="F1256" s="17"/>
      <c r="G1256" s="18"/>
      <c r="T1256" s="9"/>
      <c r="U1256" s="9"/>
      <c r="V1256" s="9"/>
      <c r="AO1256"/>
      <c r="AP1256"/>
      <c r="AQ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</row>
    <row r="1257" spans="3:67" s="1" customFormat="1" hidden="1">
      <c r="C1257" s="14"/>
      <c r="F1257" s="17"/>
      <c r="G1257" s="18"/>
      <c r="T1257" s="9"/>
      <c r="U1257" s="9"/>
      <c r="V1257" s="9"/>
      <c r="AO1257"/>
      <c r="AP1257"/>
      <c r="AQ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</row>
    <row r="1258" spans="3:67" s="1" customFormat="1" hidden="1">
      <c r="C1258" s="14"/>
      <c r="F1258" s="17"/>
      <c r="G1258" s="18"/>
      <c r="T1258" s="9"/>
      <c r="U1258" s="9"/>
      <c r="V1258" s="9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</row>
    <row r="1259" spans="3:67" s="1" customFormat="1" hidden="1">
      <c r="C1259" s="14"/>
      <c r="F1259" s="17"/>
      <c r="G1259" s="18"/>
      <c r="T1259" s="9"/>
      <c r="U1259" s="9"/>
      <c r="V1259" s="9"/>
      <c r="AO1259"/>
      <c r="AP1259"/>
      <c r="AQ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</row>
    <row r="1260" spans="3:67" s="1" customFormat="1" hidden="1">
      <c r="C1260" s="14"/>
      <c r="F1260" s="17"/>
      <c r="G1260" s="18"/>
      <c r="T1260" s="9"/>
      <c r="U1260" s="9"/>
      <c r="V1260" s="9"/>
      <c r="AO1260"/>
      <c r="AP1260"/>
      <c r="AQ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</row>
    <row r="1261" spans="3:67" s="1" customFormat="1" hidden="1">
      <c r="C1261" s="14"/>
      <c r="F1261" s="17"/>
      <c r="G1261" s="18"/>
      <c r="T1261" s="9"/>
      <c r="U1261" s="9"/>
      <c r="V1261" s="9"/>
      <c r="AO1261"/>
      <c r="AP1261"/>
      <c r="AQ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</row>
    <row r="1262" spans="3:67" s="1" customFormat="1" hidden="1">
      <c r="C1262" s="14"/>
      <c r="F1262" s="17"/>
      <c r="G1262" s="18"/>
      <c r="T1262" s="9"/>
      <c r="U1262" s="9"/>
      <c r="V1262" s="9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</row>
    <row r="1263" spans="3:67" s="1" customFormat="1" hidden="1">
      <c r="C1263" s="14"/>
      <c r="F1263" s="17"/>
      <c r="G1263" s="18"/>
      <c r="T1263" s="9"/>
      <c r="U1263" s="9"/>
      <c r="V1263" s="9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</row>
    <row r="1264" spans="3:67" s="1" customFormat="1" hidden="1">
      <c r="C1264" s="14"/>
      <c r="F1264" s="17"/>
      <c r="G1264" s="18"/>
      <c r="T1264" s="9"/>
      <c r="U1264" s="9"/>
      <c r="V1264" s="9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</row>
    <row r="1265" spans="3:67" s="1" customFormat="1" hidden="1">
      <c r="C1265" s="14"/>
      <c r="F1265" s="17"/>
      <c r="G1265" s="18"/>
      <c r="T1265" s="9"/>
      <c r="U1265" s="9"/>
      <c r="V1265" s="9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</row>
    <row r="1266" spans="3:67" s="1" customFormat="1" hidden="1">
      <c r="C1266" s="14"/>
      <c r="F1266" s="17"/>
      <c r="G1266" s="18"/>
      <c r="T1266" s="9"/>
      <c r="U1266" s="9"/>
      <c r="V1266" s="9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</row>
    <row r="1267" spans="3:67" s="1" customFormat="1" hidden="1">
      <c r="C1267" s="14"/>
      <c r="F1267" s="17"/>
      <c r="G1267" s="18"/>
      <c r="T1267" s="9"/>
      <c r="U1267" s="9"/>
      <c r="V1267" s="9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</row>
    <row r="1268" spans="3:67" s="1" customFormat="1" hidden="1">
      <c r="C1268" s="14"/>
      <c r="F1268" s="17"/>
      <c r="G1268" s="18"/>
      <c r="T1268" s="9"/>
      <c r="U1268" s="9"/>
      <c r="V1268" s="9"/>
      <c r="AO1268"/>
      <c r="AP1268"/>
      <c r="AQ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</row>
    <row r="1269" spans="3:67" s="1" customFormat="1" hidden="1">
      <c r="C1269" s="14"/>
      <c r="F1269" s="17"/>
      <c r="G1269" s="18"/>
      <c r="T1269" s="9"/>
      <c r="U1269" s="9"/>
      <c r="V1269" s="9"/>
      <c r="AO1269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</row>
    <row r="1270" spans="3:67" s="1" customFormat="1" hidden="1">
      <c r="C1270" s="14"/>
      <c r="F1270" s="17"/>
      <c r="G1270" s="18"/>
      <c r="T1270" s="9"/>
      <c r="U1270" s="9"/>
      <c r="V1270" s="9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</row>
    <row r="1271" spans="3:67" s="1" customFormat="1" hidden="1">
      <c r="C1271" s="14"/>
      <c r="F1271" s="17"/>
      <c r="G1271" s="18"/>
      <c r="T1271" s="9"/>
      <c r="U1271" s="9"/>
      <c r="V1271" s="9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</row>
    <row r="1272" spans="3:67" s="1" customFormat="1" hidden="1">
      <c r="C1272" s="14"/>
      <c r="F1272" s="17"/>
      <c r="G1272" s="18"/>
      <c r="T1272" s="9"/>
      <c r="U1272" s="9"/>
      <c r="V1272" s="9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</row>
    <row r="1273" spans="3:67" s="1" customFormat="1" hidden="1">
      <c r="C1273" s="14"/>
      <c r="F1273" s="17"/>
      <c r="G1273" s="18"/>
      <c r="T1273" s="9"/>
      <c r="U1273" s="9"/>
      <c r="V1273" s="9"/>
      <c r="AO1273"/>
      <c r="AP1273"/>
      <c r="AQ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</row>
    <row r="1274" spans="3:67" s="1" customFormat="1" hidden="1">
      <c r="C1274" s="14"/>
      <c r="F1274" s="17"/>
      <c r="G1274" s="18"/>
      <c r="T1274" s="9"/>
      <c r="U1274" s="9"/>
      <c r="V1274" s="9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</row>
    <row r="1275" spans="3:67" s="1" customFormat="1" hidden="1">
      <c r="C1275" s="14"/>
      <c r="F1275" s="17"/>
      <c r="G1275" s="18"/>
      <c r="T1275" s="9"/>
      <c r="U1275" s="9"/>
      <c r="V1275" s="9"/>
      <c r="AO1275"/>
      <c r="AP1275"/>
      <c r="AQ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/>
      <c r="BN1275"/>
      <c r="BO1275"/>
    </row>
    <row r="1276" spans="3:67" s="1" customFormat="1" hidden="1">
      <c r="C1276" s="14"/>
      <c r="F1276" s="17"/>
      <c r="G1276" s="18"/>
      <c r="T1276" s="9"/>
      <c r="U1276" s="9"/>
      <c r="V1276" s="9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</row>
    <row r="1277" spans="3:67" s="1" customFormat="1" hidden="1">
      <c r="C1277" s="14"/>
      <c r="F1277" s="17"/>
      <c r="G1277" s="18"/>
      <c r="T1277" s="9"/>
      <c r="U1277" s="9"/>
      <c r="V1277" s="9"/>
      <c r="AO1277"/>
      <c r="AP1277"/>
      <c r="AQ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/>
      <c r="BN1277"/>
      <c r="BO1277"/>
    </row>
    <row r="1278" spans="3:67" s="1" customFormat="1" hidden="1">
      <c r="C1278" s="14"/>
      <c r="F1278" s="17"/>
      <c r="G1278" s="18"/>
      <c r="T1278" s="9"/>
      <c r="U1278" s="9"/>
      <c r="V1278" s="9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</row>
    <row r="1279" spans="3:67" s="1" customFormat="1" hidden="1">
      <c r="C1279" s="14"/>
      <c r="F1279" s="17"/>
      <c r="G1279" s="18"/>
      <c r="T1279" s="9"/>
      <c r="U1279" s="9"/>
      <c r="V1279" s="9"/>
      <c r="AO1279"/>
      <c r="AP1279"/>
      <c r="AQ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  <c r="BJ1279"/>
      <c r="BK1279"/>
      <c r="BL1279"/>
      <c r="BM1279"/>
      <c r="BN1279"/>
      <c r="BO1279"/>
    </row>
    <row r="1280" spans="3:67" s="1" customFormat="1" hidden="1">
      <c r="C1280" s="14"/>
      <c r="F1280" s="17"/>
      <c r="G1280" s="18"/>
      <c r="T1280" s="9"/>
      <c r="U1280" s="9"/>
      <c r="V1280" s="9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</row>
    <row r="1281" spans="3:67" s="1" customFormat="1" hidden="1">
      <c r="C1281" s="14"/>
      <c r="F1281" s="17"/>
      <c r="G1281" s="18"/>
      <c r="T1281" s="9"/>
      <c r="U1281" s="9"/>
      <c r="V1281" s="9"/>
      <c r="AO1281"/>
      <c r="AP1281"/>
      <c r="AQ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  <c r="BG1281"/>
      <c r="BH1281"/>
      <c r="BI1281"/>
      <c r="BJ1281"/>
      <c r="BK1281"/>
      <c r="BL1281"/>
      <c r="BM1281"/>
      <c r="BN1281"/>
      <c r="BO1281"/>
    </row>
    <row r="1282" spans="3:67" s="1" customFormat="1" hidden="1">
      <c r="C1282" s="14"/>
      <c r="F1282" s="17"/>
      <c r="G1282" s="18"/>
      <c r="T1282" s="9"/>
      <c r="U1282" s="9"/>
      <c r="V1282" s="9"/>
      <c r="AO1282"/>
      <c r="AP1282"/>
      <c r="AQ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/>
      <c r="BN1282"/>
      <c r="BO1282"/>
    </row>
    <row r="1283" spans="3:67" s="1" customFormat="1" hidden="1">
      <c r="C1283" s="14"/>
      <c r="F1283" s="17"/>
      <c r="G1283" s="18"/>
      <c r="T1283" s="9"/>
      <c r="U1283" s="9"/>
      <c r="V1283" s="9"/>
      <c r="AO1283"/>
      <c r="AP1283"/>
      <c r="AQ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/>
      <c r="BN1283"/>
      <c r="BO1283"/>
    </row>
    <row r="1284" spans="3:67" s="1" customFormat="1" hidden="1">
      <c r="C1284" s="14"/>
      <c r="F1284" s="17"/>
      <c r="G1284" s="18"/>
      <c r="T1284" s="9"/>
      <c r="U1284" s="9"/>
      <c r="V1284" s="9"/>
      <c r="AO1284"/>
      <c r="AP1284"/>
      <c r="AQ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  <c r="BJ1284"/>
      <c r="BK1284"/>
      <c r="BL1284"/>
      <c r="BM1284"/>
      <c r="BN1284"/>
      <c r="BO1284"/>
    </row>
    <row r="1285" spans="3:67" s="1" customFormat="1" hidden="1">
      <c r="C1285" s="14"/>
      <c r="F1285" s="17"/>
      <c r="G1285" s="18"/>
      <c r="T1285" s="9"/>
      <c r="U1285" s="9"/>
      <c r="V1285" s="9"/>
      <c r="AO1285"/>
      <c r="AP1285"/>
      <c r="AQ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  <c r="BE1285"/>
      <c r="BF1285"/>
      <c r="BG1285"/>
      <c r="BH1285"/>
      <c r="BI1285"/>
      <c r="BJ1285"/>
      <c r="BK1285"/>
      <c r="BL1285"/>
      <c r="BM1285"/>
      <c r="BN1285"/>
      <c r="BO1285"/>
    </row>
    <row r="1286" spans="3:67" s="1" customFormat="1" hidden="1">
      <c r="C1286" s="14"/>
      <c r="F1286" s="17"/>
      <c r="G1286" s="18"/>
      <c r="T1286" s="9"/>
      <c r="U1286" s="9"/>
      <c r="V1286" s="9"/>
      <c r="AO1286"/>
      <c r="AP1286"/>
      <c r="AQ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  <c r="BE1286"/>
      <c r="BF1286"/>
      <c r="BG1286"/>
      <c r="BH1286"/>
      <c r="BI1286"/>
      <c r="BJ1286"/>
      <c r="BK1286"/>
      <c r="BL1286"/>
      <c r="BM1286"/>
      <c r="BN1286"/>
      <c r="BO1286"/>
    </row>
    <row r="1287" spans="3:67" s="1" customFormat="1" hidden="1">
      <c r="C1287" s="14"/>
      <c r="F1287" s="17"/>
      <c r="G1287" s="18"/>
      <c r="T1287" s="9"/>
      <c r="U1287" s="9"/>
      <c r="V1287" s="9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</row>
    <row r="1288" spans="3:67" s="1" customFormat="1" hidden="1">
      <c r="C1288" s="14"/>
      <c r="F1288" s="17"/>
      <c r="G1288" s="18"/>
      <c r="T1288" s="9"/>
      <c r="U1288" s="9"/>
      <c r="V1288" s="9"/>
      <c r="AO1288"/>
      <c r="AP1288"/>
      <c r="AQ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  <c r="BG1288"/>
      <c r="BH1288"/>
      <c r="BI1288"/>
      <c r="BJ1288"/>
      <c r="BK1288"/>
      <c r="BL1288"/>
      <c r="BM1288"/>
      <c r="BN1288"/>
      <c r="BO1288"/>
    </row>
    <row r="1289" spans="3:67" s="1" customFormat="1" hidden="1">
      <c r="C1289" s="14"/>
      <c r="F1289" s="17"/>
      <c r="G1289" s="18"/>
      <c r="T1289" s="9"/>
      <c r="U1289" s="9"/>
      <c r="V1289" s="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</row>
    <row r="1290" spans="3:67" s="1" customFormat="1" hidden="1">
      <c r="C1290" s="14"/>
      <c r="F1290" s="17"/>
      <c r="G1290" s="18"/>
      <c r="T1290" s="9"/>
      <c r="U1290" s="9"/>
      <c r="V1290" s="9"/>
      <c r="AO1290"/>
      <c r="AP1290"/>
      <c r="AQ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  <c r="BJ1290"/>
      <c r="BK1290"/>
      <c r="BL1290"/>
      <c r="BM1290"/>
      <c r="BN1290"/>
      <c r="BO1290"/>
    </row>
    <row r="1291" spans="3:67" s="1" customFormat="1" hidden="1">
      <c r="C1291" s="14"/>
      <c r="F1291" s="17"/>
      <c r="G1291" s="18"/>
      <c r="T1291" s="9"/>
      <c r="U1291" s="9"/>
      <c r="V1291" s="9"/>
      <c r="AO1291"/>
      <c r="AP1291"/>
      <c r="AQ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  <c r="BE1291"/>
      <c r="BF1291"/>
      <c r="BG1291"/>
      <c r="BH1291"/>
      <c r="BI1291"/>
      <c r="BJ1291"/>
      <c r="BK1291"/>
      <c r="BL1291"/>
      <c r="BM1291"/>
      <c r="BN1291"/>
      <c r="BO1291"/>
    </row>
    <row r="1292" spans="3:67" s="1" customFormat="1" hidden="1">
      <c r="C1292" s="14"/>
      <c r="F1292" s="17"/>
      <c r="G1292" s="18"/>
      <c r="T1292" s="9"/>
      <c r="U1292" s="9"/>
      <c r="V1292" s="9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</row>
    <row r="1293" spans="3:67" s="1" customFormat="1" hidden="1">
      <c r="C1293" s="14"/>
      <c r="F1293" s="17"/>
      <c r="G1293" s="18"/>
      <c r="T1293" s="9"/>
      <c r="U1293" s="9"/>
      <c r="V1293" s="9"/>
      <c r="AO1293"/>
      <c r="AP1293"/>
      <c r="AQ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  <c r="BJ1293"/>
      <c r="BK1293"/>
      <c r="BL1293"/>
      <c r="BM1293"/>
      <c r="BN1293"/>
      <c r="BO1293"/>
    </row>
    <row r="1294" spans="3:67" s="1" customFormat="1" hidden="1">
      <c r="C1294" s="14"/>
      <c r="F1294" s="17"/>
      <c r="G1294" s="18"/>
      <c r="T1294" s="9"/>
      <c r="U1294" s="9"/>
      <c r="V1294" s="9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</row>
    <row r="1295" spans="3:67" s="1" customFormat="1" hidden="1">
      <c r="C1295" s="14"/>
      <c r="F1295" s="17"/>
      <c r="G1295" s="18"/>
      <c r="T1295" s="9"/>
      <c r="U1295" s="9"/>
      <c r="V1295" s="9"/>
      <c r="AO1295"/>
      <c r="AP1295"/>
      <c r="AQ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  <c r="BJ1295"/>
      <c r="BK1295"/>
      <c r="BL1295"/>
      <c r="BM1295"/>
      <c r="BN1295"/>
      <c r="BO1295"/>
    </row>
    <row r="1296" spans="3:67" s="1" customFormat="1" hidden="1">
      <c r="C1296" s="14"/>
      <c r="F1296" s="17"/>
      <c r="G1296" s="18"/>
      <c r="T1296" s="9"/>
      <c r="U1296" s="9"/>
      <c r="V1296" s="9"/>
      <c r="AO1296"/>
      <c r="AP1296"/>
      <c r="AQ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  <c r="BJ1296"/>
      <c r="BK1296"/>
      <c r="BL1296"/>
      <c r="BM1296"/>
      <c r="BN1296"/>
      <c r="BO1296"/>
    </row>
    <row r="1297" spans="3:67" s="1" customFormat="1" hidden="1">
      <c r="C1297" s="14"/>
      <c r="F1297" s="17"/>
      <c r="G1297" s="18"/>
      <c r="T1297" s="9"/>
      <c r="U1297" s="9"/>
      <c r="V1297" s="9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</row>
    <row r="1298" spans="3:67" s="1" customFormat="1" hidden="1">
      <c r="C1298" s="14"/>
      <c r="F1298" s="17"/>
      <c r="G1298" s="18"/>
      <c r="T1298" s="9"/>
      <c r="U1298" s="9"/>
      <c r="V1298" s="9"/>
      <c r="AO1298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</row>
    <row r="1299" spans="3:67" s="1" customFormat="1" hidden="1">
      <c r="C1299" s="14"/>
      <c r="F1299" s="17"/>
      <c r="G1299" s="18"/>
      <c r="T1299" s="9"/>
      <c r="U1299" s="9"/>
      <c r="V1299" s="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</row>
    <row r="1300" spans="3:67" s="1" customFormat="1" hidden="1">
      <c r="C1300" s="14"/>
      <c r="F1300" s="17"/>
      <c r="G1300" s="18"/>
      <c r="T1300" s="9"/>
      <c r="U1300" s="9"/>
      <c r="V1300" s="9"/>
      <c r="AO1300"/>
      <c r="AP1300"/>
      <c r="AQ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  <c r="BJ1300"/>
      <c r="BK1300"/>
      <c r="BL1300"/>
      <c r="BM1300"/>
      <c r="BN1300"/>
      <c r="BO1300"/>
    </row>
    <row r="1301" spans="3:67" s="1" customFormat="1" hidden="1">
      <c r="C1301" s="14"/>
      <c r="F1301" s="17"/>
      <c r="G1301" s="18"/>
      <c r="T1301" s="9"/>
      <c r="U1301" s="9"/>
      <c r="V1301" s="9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</row>
    <row r="1302" spans="3:67" s="1" customFormat="1" hidden="1">
      <c r="C1302" s="14"/>
      <c r="F1302" s="17"/>
      <c r="G1302" s="18"/>
      <c r="T1302" s="9"/>
      <c r="U1302" s="9"/>
      <c r="V1302" s="9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</row>
    <row r="1303" spans="3:67" s="1" customFormat="1" hidden="1">
      <c r="C1303" s="14"/>
      <c r="F1303" s="17"/>
      <c r="G1303" s="18"/>
      <c r="T1303" s="9"/>
      <c r="U1303" s="9"/>
      <c r="V1303" s="9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</row>
    <row r="1304" spans="3:67" s="1" customFormat="1" hidden="1">
      <c r="C1304" s="14"/>
      <c r="F1304" s="17"/>
      <c r="G1304" s="18"/>
      <c r="T1304" s="9"/>
      <c r="U1304" s="9"/>
      <c r="V1304" s="9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</row>
    <row r="1305" spans="3:67" s="1" customFormat="1" hidden="1">
      <c r="C1305" s="14"/>
      <c r="F1305" s="17"/>
      <c r="G1305" s="18"/>
      <c r="T1305" s="9"/>
      <c r="U1305" s="9"/>
      <c r="V1305" s="9"/>
      <c r="AO1305"/>
      <c r="AP1305"/>
      <c r="AQ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  <c r="BE1305"/>
      <c r="BF1305"/>
      <c r="BG1305"/>
      <c r="BH1305"/>
      <c r="BI1305"/>
      <c r="BJ1305"/>
      <c r="BK1305"/>
      <c r="BL1305"/>
      <c r="BM1305"/>
      <c r="BN1305"/>
      <c r="BO1305"/>
    </row>
    <row r="1306" spans="3:67" s="1" customFormat="1" hidden="1">
      <c r="C1306" s="14"/>
      <c r="F1306" s="17"/>
      <c r="G1306" s="18"/>
      <c r="T1306" s="9"/>
      <c r="U1306" s="9"/>
      <c r="V1306" s="9"/>
      <c r="AO1306"/>
      <c r="AP1306"/>
      <c r="AQ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  <c r="BE1306"/>
      <c r="BF1306"/>
      <c r="BG1306"/>
      <c r="BH1306"/>
      <c r="BI1306"/>
      <c r="BJ1306"/>
      <c r="BK1306"/>
      <c r="BL1306"/>
      <c r="BM1306"/>
      <c r="BN1306"/>
      <c r="BO1306"/>
    </row>
    <row r="1307" spans="3:67" s="1" customFormat="1" hidden="1">
      <c r="C1307" s="14"/>
      <c r="F1307" s="17"/>
      <c r="G1307" s="18"/>
      <c r="T1307" s="9"/>
      <c r="U1307" s="9"/>
      <c r="V1307" s="9"/>
      <c r="AO1307"/>
      <c r="AP1307"/>
      <c r="AQ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  <c r="BJ1307"/>
      <c r="BK1307"/>
      <c r="BL1307"/>
      <c r="BM1307"/>
      <c r="BN1307"/>
      <c r="BO1307"/>
    </row>
    <row r="1308" spans="3:67" s="1" customFormat="1" hidden="1">
      <c r="C1308" s="14"/>
      <c r="F1308" s="17"/>
      <c r="G1308" s="18"/>
      <c r="T1308" s="9"/>
      <c r="U1308" s="9"/>
      <c r="V1308" s="9"/>
      <c r="AO1308"/>
      <c r="AP1308"/>
      <c r="AQ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  <c r="BE1308"/>
      <c r="BF1308"/>
      <c r="BG1308"/>
      <c r="BH1308"/>
      <c r="BI1308"/>
      <c r="BJ1308"/>
      <c r="BK1308"/>
      <c r="BL1308"/>
      <c r="BM1308"/>
      <c r="BN1308"/>
      <c r="BO1308"/>
    </row>
    <row r="1309" spans="3:67" s="1" customFormat="1" hidden="1">
      <c r="C1309" s="14"/>
      <c r="F1309" s="17"/>
      <c r="G1309" s="18"/>
      <c r="T1309" s="9"/>
      <c r="U1309" s="9"/>
      <c r="V1309" s="9"/>
      <c r="AO1309"/>
      <c r="AP1309"/>
      <c r="AQ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  <c r="BJ1309"/>
      <c r="BK1309"/>
      <c r="BL1309"/>
      <c r="BM1309"/>
      <c r="BN1309"/>
      <c r="BO1309"/>
    </row>
    <row r="1310" spans="3:67" s="1" customFormat="1" hidden="1">
      <c r="C1310" s="14"/>
      <c r="F1310" s="17"/>
      <c r="G1310" s="18"/>
      <c r="T1310" s="9"/>
      <c r="U1310" s="9"/>
      <c r="V1310" s="9"/>
      <c r="AO1310"/>
      <c r="AP1310"/>
      <c r="AQ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  <c r="BJ1310"/>
      <c r="BK1310"/>
      <c r="BL1310"/>
      <c r="BM1310"/>
      <c r="BN1310"/>
      <c r="BO1310"/>
    </row>
    <row r="1311" spans="3:67" s="1" customFormat="1" hidden="1">
      <c r="C1311" s="14"/>
      <c r="F1311" s="17"/>
      <c r="G1311" s="18"/>
      <c r="T1311" s="9"/>
      <c r="U1311" s="9"/>
      <c r="V1311" s="9"/>
      <c r="AO1311"/>
      <c r="AP1311"/>
      <c r="AQ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  <c r="BJ1311"/>
      <c r="BK1311"/>
      <c r="BL1311"/>
      <c r="BM1311"/>
      <c r="BN1311"/>
      <c r="BO1311"/>
    </row>
    <row r="1312" spans="3:67" s="1" customFormat="1" hidden="1">
      <c r="C1312" s="14"/>
      <c r="F1312" s="17"/>
      <c r="G1312" s="18"/>
      <c r="T1312" s="9"/>
      <c r="U1312" s="9"/>
      <c r="V1312" s="9"/>
      <c r="AO1312"/>
      <c r="AP1312"/>
      <c r="AQ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  <c r="BJ1312"/>
      <c r="BK1312"/>
      <c r="BL1312"/>
      <c r="BM1312"/>
      <c r="BN1312"/>
      <c r="BO1312"/>
    </row>
    <row r="1313" spans="3:67" s="1" customFormat="1" hidden="1">
      <c r="C1313" s="14"/>
      <c r="F1313" s="17"/>
      <c r="G1313" s="18"/>
      <c r="T1313" s="9"/>
      <c r="U1313" s="9"/>
      <c r="V1313" s="9"/>
      <c r="AO1313"/>
      <c r="AP1313"/>
      <c r="AQ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  <c r="BE1313"/>
      <c r="BF1313"/>
      <c r="BG1313"/>
      <c r="BH1313"/>
      <c r="BI1313"/>
      <c r="BJ1313"/>
      <c r="BK1313"/>
      <c r="BL1313"/>
      <c r="BM1313"/>
      <c r="BN1313"/>
      <c r="BO1313"/>
    </row>
    <row r="1314" spans="3:67" s="1" customFormat="1" hidden="1">
      <c r="C1314" s="14"/>
      <c r="F1314" s="17"/>
      <c r="G1314" s="18"/>
      <c r="T1314" s="9"/>
      <c r="U1314" s="9"/>
      <c r="V1314" s="9"/>
      <c r="AO1314"/>
      <c r="AP1314"/>
      <c r="AQ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  <c r="BE1314"/>
      <c r="BF1314"/>
      <c r="BG1314"/>
      <c r="BH1314"/>
      <c r="BI1314"/>
      <c r="BJ1314"/>
      <c r="BK1314"/>
      <c r="BL1314"/>
      <c r="BM1314"/>
      <c r="BN1314"/>
      <c r="BO1314"/>
    </row>
    <row r="1315" spans="3:67" s="1" customFormat="1" hidden="1">
      <c r="C1315" s="14"/>
      <c r="F1315" s="17"/>
      <c r="G1315" s="18"/>
      <c r="T1315" s="9"/>
      <c r="U1315" s="9"/>
      <c r="V1315" s="9"/>
      <c r="AO1315"/>
      <c r="AP1315"/>
      <c r="AQ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  <c r="BJ1315"/>
      <c r="BK1315"/>
      <c r="BL1315"/>
      <c r="BM1315"/>
      <c r="BN1315"/>
      <c r="BO1315"/>
    </row>
    <row r="1316" spans="3:67" s="1" customFormat="1" hidden="1">
      <c r="C1316" s="14"/>
      <c r="F1316" s="17"/>
      <c r="G1316" s="18"/>
      <c r="T1316" s="9"/>
      <c r="U1316" s="9"/>
      <c r="V1316" s="9"/>
      <c r="AO1316"/>
      <c r="AP1316"/>
      <c r="AQ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/>
      <c r="BN1316"/>
      <c r="BO1316"/>
    </row>
    <row r="1317" spans="3:67" s="1" customFormat="1" hidden="1">
      <c r="C1317" s="14"/>
      <c r="F1317" s="17"/>
      <c r="G1317" s="18"/>
      <c r="T1317" s="9"/>
      <c r="U1317" s="9"/>
      <c r="V1317" s="9"/>
      <c r="AO1317"/>
      <c r="AP1317"/>
      <c r="AQ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  <c r="BG1317"/>
      <c r="BH1317"/>
      <c r="BI1317"/>
      <c r="BJ1317"/>
      <c r="BK1317"/>
      <c r="BL1317"/>
      <c r="BM1317"/>
      <c r="BN1317"/>
      <c r="BO1317"/>
    </row>
    <row r="1318" spans="3:67" s="1" customFormat="1" hidden="1">
      <c r="C1318" s="14"/>
      <c r="F1318" s="17"/>
      <c r="G1318" s="18"/>
      <c r="T1318" s="9"/>
      <c r="U1318" s="9"/>
      <c r="V1318" s="9"/>
      <c r="AO1318"/>
      <c r="AP1318"/>
      <c r="AQ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  <c r="BE1318"/>
      <c r="BF1318"/>
      <c r="BG1318"/>
      <c r="BH1318"/>
      <c r="BI1318"/>
      <c r="BJ1318"/>
      <c r="BK1318"/>
      <c r="BL1318"/>
      <c r="BM1318"/>
      <c r="BN1318"/>
      <c r="BO1318"/>
    </row>
    <row r="1319" spans="3:67" s="1" customFormat="1" hidden="1">
      <c r="C1319" s="14"/>
      <c r="F1319" s="17"/>
      <c r="G1319" s="18"/>
      <c r="T1319" s="9"/>
      <c r="U1319" s="9"/>
      <c r="V1319" s="9"/>
      <c r="AO1319"/>
      <c r="AP1319"/>
      <c r="AQ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  <c r="BJ1319"/>
      <c r="BK1319"/>
      <c r="BL1319"/>
      <c r="BM1319"/>
      <c r="BN1319"/>
      <c r="BO1319"/>
    </row>
    <row r="1320" spans="3:67" s="1" customFormat="1" hidden="1">
      <c r="C1320" s="14"/>
      <c r="F1320" s="17"/>
      <c r="G1320" s="18"/>
      <c r="T1320" s="9"/>
      <c r="U1320" s="9"/>
      <c r="V1320" s="9"/>
      <c r="AO1320"/>
      <c r="AP1320"/>
      <c r="AQ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  <c r="BG1320"/>
      <c r="BH1320"/>
      <c r="BI1320"/>
      <c r="BJ1320"/>
      <c r="BK1320"/>
      <c r="BL1320"/>
      <c r="BM1320"/>
      <c r="BN1320"/>
      <c r="BO1320"/>
    </row>
    <row r="1321" spans="3:67" s="1" customFormat="1" hidden="1">
      <c r="C1321" s="14"/>
      <c r="F1321" s="17"/>
      <c r="G1321" s="18"/>
      <c r="T1321" s="9"/>
      <c r="U1321" s="9"/>
      <c r="V1321" s="9"/>
      <c r="AO1321"/>
      <c r="AP1321"/>
      <c r="AQ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  <c r="BG1321"/>
      <c r="BH1321"/>
      <c r="BI1321"/>
      <c r="BJ1321"/>
      <c r="BK1321"/>
      <c r="BL1321"/>
      <c r="BM1321"/>
      <c r="BN1321"/>
      <c r="BO1321"/>
    </row>
    <row r="1322" spans="3:67" s="1" customFormat="1" hidden="1">
      <c r="C1322" s="14"/>
      <c r="F1322" s="17"/>
      <c r="G1322" s="18"/>
      <c r="T1322" s="9"/>
      <c r="U1322" s="9"/>
      <c r="V1322" s="9"/>
      <c r="AO1322"/>
      <c r="AP1322"/>
      <c r="AQ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/>
      <c r="BN1322"/>
      <c r="BO1322"/>
    </row>
    <row r="1323" spans="3:67" s="1" customFormat="1" hidden="1">
      <c r="C1323" s="14"/>
      <c r="F1323" s="17"/>
      <c r="G1323" s="18"/>
      <c r="T1323" s="9"/>
      <c r="U1323" s="9"/>
      <c r="V1323" s="9"/>
      <c r="AO1323"/>
      <c r="AP1323"/>
      <c r="AQ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/>
      <c r="BE1323"/>
      <c r="BF1323"/>
      <c r="BG1323"/>
      <c r="BH1323"/>
      <c r="BI1323"/>
      <c r="BJ1323"/>
      <c r="BK1323"/>
      <c r="BL1323"/>
      <c r="BM1323"/>
      <c r="BN1323"/>
      <c r="BO1323"/>
    </row>
    <row r="1324" spans="3:67" s="1" customFormat="1" hidden="1">
      <c r="C1324" s="14"/>
      <c r="F1324" s="17"/>
      <c r="G1324" s="18"/>
      <c r="T1324" s="9"/>
      <c r="U1324" s="9"/>
      <c r="V1324" s="9"/>
      <c r="AO1324"/>
      <c r="AP1324"/>
      <c r="AQ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/>
      <c r="BE1324"/>
      <c r="BF1324"/>
      <c r="BG1324"/>
      <c r="BH1324"/>
      <c r="BI1324"/>
      <c r="BJ1324"/>
      <c r="BK1324"/>
      <c r="BL1324"/>
      <c r="BM1324"/>
      <c r="BN1324"/>
      <c r="BO1324"/>
    </row>
    <row r="1325" spans="3:67" s="1" customFormat="1" hidden="1">
      <c r="C1325" s="14"/>
      <c r="F1325" s="17"/>
      <c r="G1325" s="18"/>
      <c r="T1325" s="9"/>
      <c r="U1325" s="9"/>
      <c r="V1325" s="9"/>
      <c r="AO1325"/>
      <c r="AP1325"/>
      <c r="AQ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/>
      <c r="BE1325"/>
      <c r="BF1325"/>
      <c r="BG1325"/>
      <c r="BH1325"/>
      <c r="BI1325"/>
      <c r="BJ1325"/>
      <c r="BK1325"/>
      <c r="BL1325"/>
      <c r="BM1325"/>
      <c r="BN1325"/>
      <c r="BO1325"/>
    </row>
    <row r="1326" spans="3:67" s="1" customFormat="1" hidden="1">
      <c r="C1326" s="14"/>
      <c r="F1326" s="17"/>
      <c r="G1326" s="18"/>
      <c r="T1326" s="9"/>
      <c r="U1326" s="9"/>
      <c r="V1326" s="9"/>
      <c r="AO1326"/>
      <c r="AP1326"/>
      <c r="AQ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  <c r="BE1326"/>
      <c r="BF1326"/>
      <c r="BG1326"/>
      <c r="BH1326"/>
      <c r="BI1326"/>
      <c r="BJ1326"/>
      <c r="BK1326"/>
      <c r="BL1326"/>
      <c r="BM1326"/>
      <c r="BN1326"/>
      <c r="BO1326"/>
    </row>
    <row r="1327" spans="3:67" s="1" customFormat="1" hidden="1">
      <c r="C1327" s="14"/>
      <c r="F1327" s="17"/>
      <c r="G1327" s="18"/>
      <c r="T1327" s="9"/>
      <c r="U1327" s="9"/>
      <c r="V1327" s="9"/>
      <c r="AO1327"/>
      <c r="AP1327"/>
      <c r="AQ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  <c r="BE1327"/>
      <c r="BF1327"/>
      <c r="BG1327"/>
      <c r="BH1327"/>
      <c r="BI1327"/>
      <c r="BJ1327"/>
      <c r="BK1327"/>
      <c r="BL1327"/>
      <c r="BM1327"/>
      <c r="BN1327"/>
      <c r="BO1327"/>
    </row>
    <row r="1328" spans="3:67" s="1" customFormat="1" hidden="1">
      <c r="C1328" s="14"/>
      <c r="F1328" s="17"/>
      <c r="G1328" s="18"/>
      <c r="T1328" s="9"/>
      <c r="U1328" s="9"/>
      <c r="V1328" s="9"/>
      <c r="AO1328"/>
      <c r="AP1328"/>
      <c r="AQ1328"/>
      <c r="AR1328"/>
      <c r="AS1328"/>
      <c r="AT1328"/>
      <c r="AU1328"/>
      <c r="AV1328"/>
      <c r="AW1328"/>
      <c r="AX1328"/>
      <c r="AY1328"/>
      <c r="AZ1328"/>
      <c r="BA1328"/>
      <c r="BB1328"/>
      <c r="BC1328"/>
      <c r="BD1328"/>
      <c r="BE1328"/>
      <c r="BF1328"/>
      <c r="BG1328"/>
      <c r="BH1328"/>
      <c r="BI1328"/>
      <c r="BJ1328"/>
      <c r="BK1328"/>
      <c r="BL1328"/>
      <c r="BM1328"/>
      <c r="BN1328"/>
      <c r="BO1328"/>
    </row>
    <row r="1329" spans="3:67" s="1" customFormat="1" hidden="1">
      <c r="C1329" s="14"/>
      <c r="F1329" s="17"/>
      <c r="G1329" s="18"/>
      <c r="T1329" s="9"/>
      <c r="U1329" s="9"/>
      <c r="V1329" s="9"/>
      <c r="AO1329"/>
      <c r="AP1329"/>
      <c r="AQ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/>
      <c r="BE1329"/>
      <c r="BF1329"/>
      <c r="BG1329"/>
      <c r="BH1329"/>
      <c r="BI1329"/>
      <c r="BJ1329"/>
      <c r="BK1329"/>
      <c r="BL1329"/>
      <c r="BM1329"/>
      <c r="BN1329"/>
      <c r="BO1329"/>
    </row>
    <row r="1330" spans="3:67" s="1" customFormat="1" hidden="1">
      <c r="C1330" s="14"/>
      <c r="F1330" s="17"/>
      <c r="G1330" s="18"/>
      <c r="T1330" s="9"/>
      <c r="U1330" s="9"/>
      <c r="V1330" s="9"/>
      <c r="AO1330"/>
      <c r="AP1330"/>
      <c r="AQ1330"/>
      <c r="AR1330"/>
      <c r="AS1330"/>
      <c r="AT1330"/>
      <c r="AU1330"/>
      <c r="AV1330"/>
      <c r="AW1330"/>
      <c r="AX1330"/>
      <c r="AY1330"/>
      <c r="AZ1330"/>
      <c r="BA1330"/>
      <c r="BB1330"/>
      <c r="BC1330"/>
      <c r="BD1330"/>
      <c r="BE1330"/>
      <c r="BF1330"/>
      <c r="BG1330"/>
      <c r="BH1330"/>
      <c r="BI1330"/>
      <c r="BJ1330"/>
      <c r="BK1330"/>
      <c r="BL1330"/>
      <c r="BM1330"/>
      <c r="BN1330"/>
      <c r="BO1330"/>
    </row>
    <row r="1331" spans="3:67" s="1" customFormat="1" hidden="1">
      <c r="C1331" s="14"/>
      <c r="F1331" s="17"/>
      <c r="G1331" s="18"/>
      <c r="T1331" s="9"/>
      <c r="U1331" s="9"/>
      <c r="V1331" s="9"/>
      <c r="AO1331"/>
      <c r="AP1331"/>
      <c r="AQ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  <c r="BG1331"/>
      <c r="BH1331"/>
      <c r="BI1331"/>
      <c r="BJ1331"/>
      <c r="BK1331"/>
      <c r="BL1331"/>
      <c r="BM1331"/>
      <c r="BN1331"/>
      <c r="BO1331"/>
    </row>
    <row r="1332" spans="3:67" s="1" customFormat="1" hidden="1">
      <c r="C1332" s="14"/>
      <c r="F1332" s="17"/>
      <c r="G1332" s="18"/>
      <c r="T1332" s="9"/>
      <c r="U1332" s="9"/>
      <c r="V1332" s="9"/>
      <c r="AO1332"/>
      <c r="AP1332"/>
      <c r="AQ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  <c r="BE1332"/>
      <c r="BF1332"/>
      <c r="BG1332"/>
      <c r="BH1332"/>
      <c r="BI1332"/>
      <c r="BJ1332"/>
      <c r="BK1332"/>
      <c r="BL1332"/>
      <c r="BM1332"/>
      <c r="BN1332"/>
      <c r="BO1332"/>
    </row>
    <row r="1333" spans="3:67" s="1" customFormat="1" hidden="1">
      <c r="C1333" s="14"/>
      <c r="F1333" s="17"/>
      <c r="G1333" s="18"/>
      <c r="T1333" s="9"/>
      <c r="U1333" s="9"/>
      <c r="V1333" s="9"/>
      <c r="AO1333"/>
      <c r="AP1333"/>
      <c r="AQ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  <c r="BE1333"/>
      <c r="BF1333"/>
      <c r="BG1333"/>
      <c r="BH1333"/>
      <c r="BI1333"/>
      <c r="BJ1333"/>
      <c r="BK1333"/>
      <c r="BL1333"/>
      <c r="BM1333"/>
      <c r="BN1333"/>
      <c r="BO1333"/>
    </row>
    <row r="1334" spans="3:67" s="1" customFormat="1" hidden="1">
      <c r="C1334" s="14"/>
      <c r="F1334" s="17"/>
      <c r="G1334" s="18"/>
      <c r="T1334" s="9"/>
      <c r="U1334" s="9"/>
      <c r="V1334" s="9"/>
      <c r="AO1334"/>
      <c r="AP1334"/>
      <c r="AQ1334"/>
      <c r="AR1334"/>
      <c r="AS1334"/>
      <c r="AT1334"/>
      <c r="AU1334"/>
      <c r="AV1334"/>
      <c r="AW1334"/>
      <c r="AX1334"/>
      <c r="AY1334"/>
      <c r="AZ1334"/>
      <c r="BA1334"/>
      <c r="BB1334"/>
      <c r="BC1334"/>
      <c r="BD1334"/>
      <c r="BE1334"/>
      <c r="BF1334"/>
      <c r="BG1334"/>
      <c r="BH1334"/>
      <c r="BI1334"/>
      <c r="BJ1334"/>
      <c r="BK1334"/>
      <c r="BL1334"/>
      <c r="BM1334"/>
      <c r="BN1334"/>
      <c r="BO1334"/>
    </row>
    <row r="1335" spans="3:67" s="1" customFormat="1" hidden="1">
      <c r="C1335" s="14"/>
      <c r="F1335" s="17"/>
      <c r="G1335" s="18"/>
      <c r="T1335" s="9"/>
      <c r="U1335" s="9"/>
      <c r="V1335" s="9"/>
      <c r="AO1335"/>
      <c r="AP1335"/>
      <c r="AQ1335"/>
      <c r="AR1335"/>
      <c r="AS1335"/>
      <c r="AT1335"/>
      <c r="AU1335"/>
      <c r="AV1335"/>
      <c r="AW1335"/>
      <c r="AX1335"/>
      <c r="AY1335"/>
      <c r="AZ1335"/>
      <c r="BA1335"/>
      <c r="BB1335"/>
      <c r="BC1335"/>
      <c r="BD1335"/>
      <c r="BE1335"/>
      <c r="BF1335"/>
      <c r="BG1335"/>
      <c r="BH1335"/>
      <c r="BI1335"/>
      <c r="BJ1335"/>
      <c r="BK1335"/>
      <c r="BL1335"/>
      <c r="BM1335"/>
      <c r="BN1335"/>
      <c r="BO1335"/>
    </row>
    <row r="1336" spans="3:67" s="1" customFormat="1" hidden="1">
      <c r="C1336" s="14"/>
      <c r="F1336" s="17"/>
      <c r="G1336" s="18"/>
      <c r="T1336" s="9"/>
      <c r="U1336" s="9"/>
      <c r="V1336" s="9"/>
      <c r="AO1336"/>
      <c r="AP1336"/>
      <c r="AQ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/>
      <c r="BE1336"/>
      <c r="BF1336"/>
      <c r="BG1336"/>
      <c r="BH1336"/>
      <c r="BI1336"/>
      <c r="BJ1336"/>
      <c r="BK1336"/>
      <c r="BL1336"/>
      <c r="BM1336"/>
      <c r="BN1336"/>
      <c r="BO1336"/>
    </row>
    <row r="1337" spans="3:67" s="1" customFormat="1" hidden="1">
      <c r="C1337" s="14"/>
      <c r="F1337" s="17"/>
      <c r="G1337" s="18"/>
      <c r="T1337" s="9"/>
      <c r="U1337" s="9"/>
      <c r="V1337" s="9"/>
      <c r="AO1337"/>
      <c r="AP1337"/>
      <c r="AQ1337"/>
      <c r="AR1337"/>
      <c r="AS1337"/>
      <c r="AT1337"/>
      <c r="AU1337"/>
      <c r="AV1337"/>
      <c r="AW1337"/>
      <c r="AX1337"/>
      <c r="AY1337"/>
      <c r="AZ1337"/>
      <c r="BA1337"/>
      <c r="BB1337"/>
      <c r="BC1337"/>
      <c r="BD1337"/>
      <c r="BE1337"/>
      <c r="BF1337"/>
      <c r="BG1337"/>
      <c r="BH1337"/>
      <c r="BI1337"/>
      <c r="BJ1337"/>
      <c r="BK1337"/>
      <c r="BL1337"/>
      <c r="BM1337"/>
      <c r="BN1337"/>
      <c r="BO1337"/>
    </row>
    <row r="1338" spans="3:67" s="1" customFormat="1" hidden="1">
      <c r="C1338" s="14"/>
      <c r="F1338" s="17"/>
      <c r="G1338" s="18"/>
      <c r="T1338" s="9"/>
      <c r="U1338" s="9"/>
      <c r="V1338" s="9"/>
      <c r="AO1338"/>
      <c r="AP1338"/>
      <c r="AQ1338"/>
      <c r="AR1338"/>
      <c r="AS1338"/>
      <c r="AT1338"/>
      <c r="AU1338"/>
      <c r="AV1338"/>
      <c r="AW1338"/>
      <c r="AX1338"/>
      <c r="AY1338"/>
      <c r="AZ1338"/>
      <c r="BA1338"/>
      <c r="BB1338"/>
      <c r="BC1338"/>
      <c r="BD1338"/>
      <c r="BE1338"/>
      <c r="BF1338"/>
      <c r="BG1338"/>
      <c r="BH1338"/>
      <c r="BI1338"/>
      <c r="BJ1338"/>
      <c r="BK1338"/>
      <c r="BL1338"/>
      <c r="BM1338"/>
      <c r="BN1338"/>
      <c r="BO1338"/>
    </row>
    <row r="1339" spans="3:67" s="1" customFormat="1" hidden="1">
      <c r="C1339" s="14"/>
      <c r="F1339" s="17"/>
      <c r="G1339" s="18"/>
      <c r="T1339" s="9"/>
      <c r="U1339" s="9"/>
      <c r="V1339" s="9"/>
      <c r="AO1339"/>
      <c r="AP1339"/>
      <c r="AQ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  <c r="BH1339"/>
      <c r="BI1339"/>
      <c r="BJ1339"/>
      <c r="BK1339"/>
      <c r="BL1339"/>
      <c r="BM1339"/>
      <c r="BN1339"/>
      <c r="BO1339"/>
    </row>
    <row r="1340" spans="3:67" s="1" customFormat="1" hidden="1">
      <c r="C1340" s="14"/>
      <c r="F1340" s="17"/>
      <c r="G1340" s="18"/>
      <c r="T1340" s="9"/>
      <c r="U1340" s="9"/>
      <c r="V1340" s="9"/>
      <c r="AO1340"/>
      <c r="AP1340"/>
      <c r="AQ1340"/>
      <c r="AR1340"/>
      <c r="AS1340"/>
      <c r="AT1340"/>
      <c r="AU1340"/>
      <c r="AV1340"/>
      <c r="AW1340"/>
      <c r="AX1340"/>
      <c r="AY1340"/>
      <c r="AZ1340"/>
      <c r="BA1340"/>
      <c r="BB1340"/>
      <c r="BC1340"/>
      <c r="BD1340"/>
      <c r="BE1340"/>
      <c r="BF1340"/>
      <c r="BG1340"/>
      <c r="BH1340"/>
      <c r="BI1340"/>
      <c r="BJ1340"/>
      <c r="BK1340"/>
      <c r="BL1340"/>
      <c r="BM1340"/>
      <c r="BN1340"/>
      <c r="BO1340"/>
    </row>
    <row r="1341" spans="3:67" s="1" customFormat="1" hidden="1">
      <c r="C1341" s="14"/>
      <c r="F1341" s="17"/>
      <c r="G1341" s="18"/>
      <c r="T1341" s="9"/>
      <c r="U1341" s="9"/>
      <c r="V1341" s="9"/>
      <c r="AO1341"/>
      <c r="AP1341"/>
      <c r="AQ1341"/>
      <c r="AR1341"/>
      <c r="AS1341"/>
      <c r="AT1341"/>
      <c r="AU1341"/>
      <c r="AV1341"/>
      <c r="AW1341"/>
      <c r="AX1341"/>
      <c r="AY1341"/>
      <c r="AZ1341"/>
      <c r="BA1341"/>
      <c r="BB1341"/>
      <c r="BC1341"/>
      <c r="BD1341"/>
      <c r="BE1341"/>
      <c r="BF1341"/>
      <c r="BG1341"/>
      <c r="BH1341"/>
      <c r="BI1341"/>
      <c r="BJ1341"/>
      <c r="BK1341"/>
      <c r="BL1341"/>
      <c r="BM1341"/>
      <c r="BN1341"/>
      <c r="BO1341"/>
    </row>
    <row r="1342" spans="3:67" s="1" customFormat="1" hidden="1">
      <c r="C1342" s="14"/>
      <c r="F1342" s="17"/>
      <c r="G1342" s="18"/>
      <c r="T1342" s="9"/>
      <c r="U1342" s="9"/>
      <c r="V1342" s="9"/>
      <c r="AO1342"/>
      <c r="AP1342"/>
      <c r="AQ1342"/>
      <c r="AR1342"/>
      <c r="AS1342"/>
      <c r="AT1342"/>
      <c r="AU1342"/>
      <c r="AV1342"/>
      <c r="AW1342"/>
      <c r="AX1342"/>
      <c r="AY1342"/>
      <c r="AZ1342"/>
      <c r="BA1342"/>
      <c r="BB1342"/>
      <c r="BC1342"/>
      <c r="BD1342"/>
      <c r="BE1342"/>
      <c r="BF1342"/>
      <c r="BG1342"/>
      <c r="BH1342"/>
      <c r="BI1342"/>
      <c r="BJ1342"/>
      <c r="BK1342"/>
      <c r="BL1342"/>
      <c r="BM1342"/>
      <c r="BN1342"/>
      <c r="BO1342"/>
    </row>
    <row r="1343" spans="3:67" s="1" customFormat="1" hidden="1">
      <c r="C1343" s="14"/>
      <c r="F1343" s="17"/>
      <c r="G1343" s="18"/>
      <c r="T1343" s="9"/>
      <c r="U1343" s="9"/>
      <c r="V1343" s="9"/>
      <c r="AO1343"/>
      <c r="AP1343"/>
      <c r="AQ1343"/>
      <c r="AR1343"/>
      <c r="AS1343"/>
      <c r="AT1343"/>
      <c r="AU1343"/>
      <c r="AV1343"/>
      <c r="AW1343"/>
      <c r="AX1343"/>
      <c r="AY1343"/>
      <c r="AZ1343"/>
      <c r="BA1343"/>
      <c r="BB1343"/>
      <c r="BC1343"/>
      <c r="BD1343"/>
      <c r="BE1343"/>
      <c r="BF1343"/>
      <c r="BG1343"/>
      <c r="BH1343"/>
      <c r="BI1343"/>
      <c r="BJ1343"/>
      <c r="BK1343"/>
      <c r="BL1343"/>
      <c r="BM1343"/>
      <c r="BN1343"/>
      <c r="BO1343"/>
    </row>
    <row r="1344" spans="3:67" s="1" customFormat="1" hidden="1">
      <c r="C1344" s="14"/>
      <c r="F1344" s="17"/>
      <c r="G1344" s="18"/>
      <c r="T1344" s="9"/>
      <c r="U1344" s="9"/>
      <c r="V1344" s="9"/>
      <c r="AO1344"/>
      <c r="AP1344"/>
      <c r="AQ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  <c r="BJ1344"/>
      <c r="BK1344"/>
      <c r="BL1344"/>
      <c r="BM1344"/>
      <c r="BN1344"/>
      <c r="BO1344"/>
    </row>
    <row r="1345" spans="3:67" s="1" customFormat="1" hidden="1">
      <c r="C1345" s="14"/>
      <c r="F1345" s="17"/>
      <c r="G1345" s="18"/>
      <c r="T1345" s="9"/>
      <c r="U1345" s="9"/>
      <c r="V1345" s="9"/>
      <c r="AO1345"/>
      <c r="AP1345"/>
      <c r="AQ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</row>
    <row r="1346" spans="3:67" s="1" customFormat="1" hidden="1">
      <c r="C1346" s="14"/>
      <c r="F1346" s="17"/>
      <c r="G1346" s="18"/>
      <c r="T1346" s="9"/>
      <c r="U1346" s="9"/>
      <c r="V1346" s="9"/>
      <c r="AO1346"/>
      <c r="AP1346"/>
      <c r="AQ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/>
      <c r="BN1346"/>
      <c r="BO1346"/>
    </row>
    <row r="1347" spans="3:67" s="1" customFormat="1" hidden="1">
      <c r="C1347" s="14"/>
      <c r="F1347" s="17"/>
      <c r="G1347" s="18"/>
      <c r="T1347" s="9"/>
      <c r="U1347" s="9"/>
      <c r="V1347" s="9"/>
      <c r="AO1347"/>
      <c r="AP1347"/>
      <c r="AQ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  <c r="BH1347"/>
      <c r="BI1347"/>
      <c r="BJ1347"/>
      <c r="BK1347"/>
      <c r="BL1347"/>
      <c r="BM1347"/>
      <c r="BN1347"/>
      <c r="BO1347"/>
    </row>
    <row r="1348" spans="3:67" s="1" customFormat="1" hidden="1">
      <c r="C1348" s="14"/>
      <c r="F1348" s="17"/>
      <c r="G1348" s="18"/>
      <c r="T1348" s="9"/>
      <c r="U1348" s="9"/>
      <c r="V1348" s="9"/>
      <c r="AO1348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</row>
    <row r="1349" spans="3:67" s="1" customFormat="1" hidden="1">
      <c r="C1349" s="14"/>
      <c r="F1349" s="17"/>
      <c r="G1349" s="18"/>
      <c r="T1349" s="9"/>
      <c r="U1349" s="9"/>
      <c r="V1349" s="9"/>
      <c r="AO1349"/>
      <c r="AP1349"/>
      <c r="AQ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  <c r="BH1349"/>
      <c r="BI1349"/>
      <c r="BJ1349"/>
      <c r="BK1349"/>
      <c r="BL1349"/>
      <c r="BM1349"/>
      <c r="BN1349"/>
      <c r="BO1349"/>
    </row>
    <row r="1350" spans="3:67" s="1" customFormat="1" hidden="1">
      <c r="C1350" s="14"/>
      <c r="F1350" s="17"/>
      <c r="G1350" s="18"/>
      <c r="T1350" s="9"/>
      <c r="U1350" s="9"/>
      <c r="V1350" s="9"/>
      <c r="AO1350"/>
      <c r="AP1350"/>
      <c r="AQ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  <c r="BE1350"/>
      <c r="BF1350"/>
      <c r="BG1350"/>
      <c r="BH1350"/>
      <c r="BI1350"/>
      <c r="BJ1350"/>
      <c r="BK1350"/>
      <c r="BL1350"/>
      <c r="BM1350"/>
      <c r="BN1350"/>
      <c r="BO1350"/>
    </row>
    <row r="1351" spans="3:67" s="1" customFormat="1" hidden="1">
      <c r="C1351" s="14"/>
      <c r="F1351" s="17"/>
      <c r="G1351" s="18"/>
      <c r="T1351" s="9"/>
      <c r="U1351" s="9"/>
      <c r="V1351" s="9"/>
      <c r="AO1351"/>
      <c r="AP1351"/>
      <c r="AQ1351"/>
      <c r="AR1351"/>
      <c r="AS1351"/>
      <c r="AT1351"/>
      <c r="AU1351"/>
      <c r="AV1351"/>
      <c r="AW1351"/>
      <c r="AX1351"/>
      <c r="AY1351"/>
      <c r="AZ1351"/>
      <c r="BA1351"/>
      <c r="BB1351"/>
      <c r="BC1351"/>
      <c r="BD1351"/>
      <c r="BE1351"/>
      <c r="BF1351"/>
      <c r="BG1351"/>
      <c r="BH1351"/>
      <c r="BI1351"/>
      <c r="BJ1351"/>
      <c r="BK1351"/>
      <c r="BL1351"/>
      <c r="BM1351"/>
      <c r="BN1351"/>
      <c r="BO1351"/>
    </row>
    <row r="1352" spans="3:67" s="1" customFormat="1" hidden="1">
      <c r="C1352" s="14"/>
      <c r="F1352" s="17"/>
      <c r="G1352" s="18"/>
      <c r="T1352" s="9"/>
      <c r="U1352" s="9"/>
      <c r="V1352" s="9"/>
      <c r="AO1352"/>
      <c r="AP1352"/>
      <c r="AQ1352"/>
      <c r="AR1352"/>
      <c r="AS1352"/>
      <c r="AT1352"/>
      <c r="AU1352"/>
      <c r="AV1352"/>
      <c r="AW1352"/>
      <c r="AX1352"/>
      <c r="AY1352"/>
      <c r="AZ1352"/>
      <c r="BA1352"/>
      <c r="BB1352"/>
      <c r="BC1352"/>
      <c r="BD1352"/>
      <c r="BE1352"/>
      <c r="BF1352"/>
      <c r="BG1352"/>
      <c r="BH1352"/>
      <c r="BI1352"/>
      <c r="BJ1352"/>
      <c r="BK1352"/>
      <c r="BL1352"/>
      <c r="BM1352"/>
      <c r="BN1352"/>
      <c r="BO1352"/>
    </row>
    <row r="1353" spans="3:67" s="1" customFormat="1" hidden="1">
      <c r="C1353" s="14"/>
      <c r="F1353" s="17"/>
      <c r="G1353" s="18"/>
      <c r="T1353" s="9"/>
      <c r="U1353" s="9"/>
      <c r="V1353" s="9"/>
      <c r="AO1353"/>
      <c r="AP1353"/>
      <c r="AQ1353"/>
      <c r="AR1353"/>
      <c r="AS1353"/>
      <c r="AT1353"/>
      <c r="AU1353"/>
      <c r="AV1353"/>
      <c r="AW1353"/>
      <c r="AX1353"/>
      <c r="AY1353"/>
      <c r="AZ1353"/>
      <c r="BA1353"/>
      <c r="BB1353"/>
      <c r="BC1353"/>
      <c r="BD1353"/>
      <c r="BE1353"/>
      <c r="BF1353"/>
      <c r="BG1353"/>
      <c r="BH1353"/>
      <c r="BI1353"/>
      <c r="BJ1353"/>
      <c r="BK1353"/>
      <c r="BL1353"/>
      <c r="BM1353"/>
      <c r="BN1353"/>
      <c r="BO1353"/>
    </row>
    <row r="1354" spans="3:67" s="1" customFormat="1" hidden="1">
      <c r="C1354" s="14"/>
      <c r="F1354" s="17"/>
      <c r="G1354" s="18"/>
      <c r="T1354" s="9"/>
      <c r="U1354" s="9"/>
      <c r="V1354" s="9"/>
      <c r="AO1354"/>
      <c r="AP1354"/>
      <c r="AQ1354"/>
      <c r="AR1354"/>
      <c r="AS1354"/>
      <c r="AT1354"/>
      <c r="AU1354"/>
      <c r="AV1354"/>
      <c r="AW1354"/>
      <c r="AX1354"/>
      <c r="AY1354"/>
      <c r="AZ1354"/>
      <c r="BA1354"/>
      <c r="BB1354"/>
      <c r="BC1354"/>
      <c r="BD1354"/>
      <c r="BE1354"/>
      <c r="BF1354"/>
      <c r="BG1354"/>
      <c r="BH1354"/>
      <c r="BI1354"/>
      <c r="BJ1354"/>
      <c r="BK1354"/>
      <c r="BL1354"/>
      <c r="BM1354"/>
      <c r="BN1354"/>
      <c r="BO1354"/>
    </row>
    <row r="1355" spans="3:67" s="1" customFormat="1" hidden="1">
      <c r="C1355" s="14"/>
      <c r="F1355" s="17"/>
      <c r="G1355" s="18"/>
      <c r="T1355" s="9"/>
      <c r="U1355" s="9"/>
      <c r="V1355" s="9"/>
      <c r="AO1355"/>
      <c r="AP1355"/>
      <c r="AQ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  <c r="BH1355"/>
      <c r="BI1355"/>
      <c r="BJ1355"/>
      <c r="BK1355"/>
      <c r="BL1355"/>
      <c r="BM1355"/>
      <c r="BN1355"/>
      <c r="BO1355"/>
    </row>
    <row r="1356" spans="3:67" s="1" customFormat="1" hidden="1">
      <c r="C1356" s="14"/>
      <c r="F1356" s="17"/>
      <c r="G1356" s="18"/>
      <c r="T1356" s="9"/>
      <c r="U1356" s="9"/>
      <c r="V1356" s="9"/>
      <c r="AO1356"/>
      <c r="AP1356"/>
      <c r="AQ1356"/>
      <c r="AR1356"/>
      <c r="AS1356"/>
      <c r="AT1356"/>
      <c r="AU1356"/>
      <c r="AV1356"/>
      <c r="AW1356"/>
      <c r="AX1356"/>
      <c r="AY1356"/>
      <c r="AZ1356"/>
      <c r="BA1356"/>
      <c r="BB1356"/>
      <c r="BC1356"/>
      <c r="BD1356"/>
      <c r="BE1356"/>
      <c r="BF1356"/>
      <c r="BG1356"/>
      <c r="BH1356"/>
      <c r="BI1356"/>
      <c r="BJ1356"/>
      <c r="BK1356"/>
      <c r="BL1356"/>
      <c r="BM1356"/>
      <c r="BN1356"/>
      <c r="BO1356"/>
    </row>
    <row r="1357" spans="3:67" s="1" customFormat="1" hidden="1">
      <c r="C1357" s="14"/>
      <c r="F1357" s="17"/>
      <c r="G1357" s="18"/>
      <c r="T1357" s="9"/>
      <c r="U1357" s="9"/>
      <c r="V1357" s="9"/>
      <c r="AO1357"/>
      <c r="AP1357"/>
      <c r="AQ1357"/>
      <c r="AR1357"/>
      <c r="AS1357"/>
      <c r="AT1357"/>
      <c r="AU1357"/>
      <c r="AV1357"/>
      <c r="AW1357"/>
      <c r="AX1357"/>
      <c r="AY1357"/>
      <c r="AZ1357"/>
      <c r="BA1357"/>
      <c r="BB1357"/>
      <c r="BC1357"/>
      <c r="BD1357"/>
      <c r="BE1357"/>
      <c r="BF1357"/>
      <c r="BG1357"/>
      <c r="BH1357"/>
      <c r="BI1357"/>
      <c r="BJ1357"/>
      <c r="BK1357"/>
      <c r="BL1357"/>
      <c r="BM1357"/>
      <c r="BN1357"/>
      <c r="BO1357"/>
    </row>
    <row r="1358" spans="3:67" s="1" customFormat="1" hidden="1">
      <c r="C1358" s="14"/>
      <c r="F1358" s="17"/>
      <c r="G1358" s="18"/>
      <c r="T1358" s="9"/>
      <c r="U1358" s="9"/>
      <c r="V1358" s="9"/>
      <c r="AO1358"/>
      <c r="AP1358"/>
      <c r="AQ1358"/>
      <c r="AR1358"/>
      <c r="AS1358"/>
      <c r="AT1358"/>
      <c r="AU1358"/>
      <c r="AV1358"/>
      <c r="AW1358"/>
      <c r="AX1358"/>
      <c r="AY1358"/>
      <c r="AZ1358"/>
      <c r="BA1358"/>
      <c r="BB1358"/>
      <c r="BC1358"/>
      <c r="BD1358"/>
      <c r="BE1358"/>
      <c r="BF1358"/>
      <c r="BG1358"/>
      <c r="BH1358"/>
      <c r="BI1358"/>
      <c r="BJ1358"/>
      <c r="BK1358"/>
      <c r="BL1358"/>
      <c r="BM1358"/>
      <c r="BN1358"/>
      <c r="BO1358"/>
    </row>
    <row r="1359" spans="3:67" s="1" customFormat="1" hidden="1">
      <c r="C1359" s="14"/>
      <c r="F1359" s="17"/>
      <c r="G1359" s="18"/>
      <c r="T1359" s="9"/>
      <c r="U1359" s="9"/>
      <c r="V1359" s="9"/>
      <c r="AO1359"/>
      <c r="AP1359"/>
      <c r="AQ1359"/>
      <c r="AR1359"/>
      <c r="AS1359"/>
      <c r="AT1359"/>
      <c r="AU1359"/>
      <c r="AV1359"/>
      <c r="AW1359"/>
      <c r="AX1359"/>
      <c r="AY1359"/>
      <c r="AZ1359"/>
      <c r="BA1359"/>
      <c r="BB1359"/>
      <c r="BC1359"/>
      <c r="BD1359"/>
      <c r="BE1359"/>
      <c r="BF1359"/>
      <c r="BG1359"/>
      <c r="BH1359"/>
      <c r="BI1359"/>
      <c r="BJ1359"/>
      <c r="BK1359"/>
      <c r="BL1359"/>
      <c r="BM1359"/>
      <c r="BN1359"/>
      <c r="BO1359"/>
    </row>
    <row r="1360" spans="3:67" s="1" customFormat="1" hidden="1">
      <c r="C1360" s="14"/>
      <c r="F1360" s="17"/>
      <c r="G1360" s="18"/>
      <c r="T1360" s="9"/>
      <c r="U1360" s="9"/>
      <c r="V1360" s="9"/>
      <c r="AO1360"/>
      <c r="AP1360"/>
      <c r="AQ1360"/>
      <c r="AR1360"/>
      <c r="AS1360"/>
      <c r="AT1360"/>
      <c r="AU1360"/>
      <c r="AV1360"/>
      <c r="AW1360"/>
      <c r="AX1360"/>
      <c r="AY1360"/>
      <c r="AZ1360"/>
      <c r="BA1360"/>
      <c r="BB1360"/>
      <c r="BC1360"/>
      <c r="BD1360"/>
      <c r="BE1360"/>
      <c r="BF1360"/>
      <c r="BG1360"/>
      <c r="BH1360"/>
      <c r="BI1360"/>
      <c r="BJ1360"/>
      <c r="BK1360"/>
      <c r="BL1360"/>
      <c r="BM1360"/>
      <c r="BN1360"/>
      <c r="BO1360"/>
    </row>
    <row r="1361" spans="3:67" s="1" customFormat="1" hidden="1">
      <c r="C1361" s="14"/>
      <c r="F1361" s="17"/>
      <c r="G1361" s="18"/>
      <c r="T1361" s="9"/>
      <c r="U1361" s="9"/>
      <c r="V1361" s="9"/>
      <c r="AO1361"/>
      <c r="AP1361"/>
      <c r="AQ1361"/>
      <c r="AR1361"/>
      <c r="AS1361"/>
      <c r="AT1361"/>
      <c r="AU1361"/>
      <c r="AV1361"/>
      <c r="AW1361"/>
      <c r="AX1361"/>
      <c r="AY1361"/>
      <c r="AZ1361"/>
      <c r="BA1361"/>
      <c r="BB1361"/>
      <c r="BC1361"/>
      <c r="BD1361"/>
      <c r="BE1361"/>
      <c r="BF1361"/>
      <c r="BG1361"/>
      <c r="BH1361"/>
      <c r="BI1361"/>
      <c r="BJ1361"/>
      <c r="BK1361"/>
      <c r="BL1361"/>
      <c r="BM1361"/>
      <c r="BN1361"/>
      <c r="BO1361"/>
    </row>
    <row r="1362" spans="3:67" s="1" customFormat="1" hidden="1">
      <c r="C1362" s="14"/>
      <c r="F1362" s="17"/>
      <c r="G1362" s="18"/>
      <c r="T1362" s="9"/>
      <c r="U1362" s="9"/>
      <c r="V1362" s="9"/>
      <c r="AO1362"/>
      <c r="AP1362"/>
      <c r="AQ1362"/>
      <c r="AR1362"/>
      <c r="AS1362"/>
      <c r="AT1362"/>
      <c r="AU1362"/>
      <c r="AV1362"/>
      <c r="AW1362"/>
      <c r="AX1362"/>
      <c r="AY1362"/>
      <c r="AZ1362"/>
      <c r="BA1362"/>
      <c r="BB1362"/>
      <c r="BC1362"/>
      <c r="BD1362"/>
      <c r="BE1362"/>
      <c r="BF1362"/>
      <c r="BG1362"/>
      <c r="BH1362"/>
      <c r="BI1362"/>
      <c r="BJ1362"/>
      <c r="BK1362"/>
      <c r="BL1362"/>
      <c r="BM1362"/>
      <c r="BN1362"/>
      <c r="BO1362"/>
    </row>
    <row r="1363" spans="3:67" s="1" customFormat="1" hidden="1">
      <c r="C1363" s="14"/>
      <c r="F1363" s="17"/>
      <c r="G1363" s="18"/>
      <c r="T1363" s="9"/>
      <c r="U1363" s="9"/>
      <c r="V1363" s="9"/>
      <c r="AO1363"/>
      <c r="AP1363"/>
      <c r="AQ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  <c r="BJ1363"/>
      <c r="BK1363"/>
      <c r="BL1363"/>
      <c r="BM1363"/>
      <c r="BN1363"/>
      <c r="BO1363"/>
    </row>
    <row r="1364" spans="3:67" s="1" customFormat="1" hidden="1">
      <c r="C1364" s="14"/>
      <c r="F1364" s="17"/>
      <c r="G1364" s="18"/>
      <c r="T1364" s="9"/>
      <c r="U1364" s="9"/>
      <c r="V1364" s="9"/>
      <c r="AO1364"/>
      <c r="AP1364"/>
      <c r="AQ1364"/>
      <c r="AR1364"/>
      <c r="AS1364"/>
      <c r="AT1364"/>
      <c r="AU1364"/>
      <c r="AV1364"/>
      <c r="AW1364"/>
      <c r="AX1364"/>
      <c r="AY1364"/>
      <c r="AZ1364"/>
      <c r="BA1364"/>
      <c r="BB1364"/>
      <c r="BC1364"/>
      <c r="BD1364"/>
      <c r="BE1364"/>
      <c r="BF1364"/>
      <c r="BG1364"/>
      <c r="BH1364"/>
      <c r="BI1364"/>
      <c r="BJ1364"/>
      <c r="BK1364"/>
      <c r="BL1364"/>
      <c r="BM1364"/>
      <c r="BN1364"/>
      <c r="BO1364"/>
    </row>
    <row r="1365" spans="3:67" s="1" customFormat="1" hidden="1">
      <c r="C1365" s="14"/>
      <c r="F1365" s="17"/>
      <c r="G1365" s="18"/>
      <c r="T1365" s="9"/>
      <c r="U1365" s="9"/>
      <c r="V1365" s="9"/>
      <c r="AO1365"/>
      <c r="AP1365"/>
      <c r="AQ1365"/>
      <c r="AR1365"/>
      <c r="AS1365"/>
      <c r="AT1365"/>
      <c r="AU1365"/>
      <c r="AV1365"/>
      <c r="AW1365"/>
      <c r="AX1365"/>
      <c r="AY1365"/>
      <c r="AZ1365"/>
      <c r="BA1365"/>
      <c r="BB1365"/>
      <c r="BC1365"/>
      <c r="BD1365"/>
      <c r="BE1365"/>
      <c r="BF1365"/>
      <c r="BG1365"/>
      <c r="BH1365"/>
      <c r="BI1365"/>
      <c r="BJ1365"/>
      <c r="BK1365"/>
      <c r="BL1365"/>
      <c r="BM1365"/>
      <c r="BN1365"/>
      <c r="BO1365"/>
    </row>
    <row r="1366" spans="3:67" s="1" customFormat="1" hidden="1">
      <c r="C1366" s="14"/>
      <c r="F1366" s="17"/>
      <c r="G1366" s="18"/>
      <c r="T1366" s="9"/>
      <c r="U1366" s="9"/>
      <c r="V1366" s="9"/>
      <c r="AO1366"/>
      <c r="AP1366"/>
      <c r="AQ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  <c r="BJ1366"/>
      <c r="BK1366"/>
      <c r="BL1366"/>
      <c r="BM1366"/>
      <c r="BN1366"/>
      <c r="BO1366"/>
    </row>
    <row r="1367" spans="3:67" s="1" customFormat="1" hidden="1">
      <c r="C1367" s="14"/>
      <c r="F1367" s="17"/>
      <c r="G1367" s="18"/>
      <c r="T1367" s="9"/>
      <c r="U1367" s="9"/>
      <c r="V1367" s="9"/>
      <c r="AO1367"/>
      <c r="AP1367"/>
      <c r="AQ1367"/>
      <c r="AR1367"/>
      <c r="AS1367"/>
      <c r="AT1367"/>
      <c r="AU1367"/>
      <c r="AV1367"/>
      <c r="AW1367"/>
      <c r="AX1367"/>
      <c r="AY1367"/>
      <c r="AZ1367"/>
      <c r="BA1367"/>
      <c r="BB1367"/>
      <c r="BC1367"/>
      <c r="BD1367"/>
      <c r="BE1367"/>
      <c r="BF1367"/>
      <c r="BG1367"/>
      <c r="BH1367"/>
      <c r="BI1367"/>
      <c r="BJ1367"/>
      <c r="BK1367"/>
      <c r="BL1367"/>
      <c r="BM1367"/>
      <c r="BN1367"/>
      <c r="BO1367"/>
    </row>
    <row r="1368" spans="3:67" s="1" customFormat="1" hidden="1">
      <c r="C1368" s="14"/>
      <c r="F1368" s="17"/>
      <c r="G1368" s="18"/>
      <c r="T1368" s="9"/>
      <c r="U1368" s="9"/>
      <c r="V1368" s="9"/>
      <c r="AO1368"/>
      <c r="AP1368"/>
      <c r="AQ1368"/>
      <c r="AR1368"/>
      <c r="AS1368"/>
      <c r="AT1368"/>
      <c r="AU1368"/>
      <c r="AV1368"/>
      <c r="AW1368"/>
      <c r="AX1368"/>
      <c r="AY1368"/>
      <c r="AZ1368"/>
      <c r="BA1368"/>
      <c r="BB1368"/>
      <c r="BC1368"/>
      <c r="BD1368"/>
      <c r="BE1368"/>
      <c r="BF1368"/>
      <c r="BG1368"/>
      <c r="BH1368"/>
      <c r="BI1368"/>
      <c r="BJ1368"/>
      <c r="BK1368"/>
      <c r="BL1368"/>
      <c r="BM1368"/>
      <c r="BN1368"/>
      <c r="BO1368"/>
    </row>
    <row r="1369" spans="3:67" s="1" customFormat="1" hidden="1">
      <c r="C1369" s="14"/>
      <c r="F1369" s="17"/>
      <c r="G1369" s="18"/>
      <c r="T1369" s="9"/>
      <c r="U1369" s="9"/>
      <c r="V1369" s="9"/>
      <c r="AO1369"/>
      <c r="AP1369"/>
      <c r="AQ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  <c r="BJ1369"/>
      <c r="BK1369"/>
      <c r="BL1369"/>
      <c r="BM1369"/>
      <c r="BN1369"/>
      <c r="BO1369"/>
    </row>
    <row r="1370" spans="3:67" s="1" customFormat="1" hidden="1">
      <c r="C1370" s="14"/>
      <c r="F1370" s="17"/>
      <c r="G1370" s="18"/>
      <c r="T1370" s="9"/>
      <c r="U1370" s="9"/>
      <c r="V1370" s="9"/>
      <c r="AO1370"/>
      <c r="AP1370"/>
      <c r="AQ1370"/>
      <c r="AR1370"/>
      <c r="AS1370"/>
      <c r="AT1370"/>
      <c r="AU1370"/>
      <c r="AV1370"/>
      <c r="AW1370"/>
      <c r="AX1370"/>
      <c r="AY1370"/>
      <c r="AZ1370"/>
      <c r="BA1370"/>
      <c r="BB1370"/>
      <c r="BC1370"/>
      <c r="BD1370"/>
      <c r="BE1370"/>
      <c r="BF1370"/>
      <c r="BG1370"/>
      <c r="BH1370"/>
      <c r="BI1370"/>
      <c r="BJ1370"/>
      <c r="BK1370"/>
      <c r="BL1370"/>
      <c r="BM1370"/>
      <c r="BN1370"/>
      <c r="BO1370"/>
    </row>
    <row r="1371" spans="3:67" s="1" customFormat="1" hidden="1">
      <c r="C1371" s="14"/>
      <c r="F1371" s="17"/>
      <c r="G1371" s="18"/>
      <c r="T1371" s="9"/>
      <c r="U1371" s="9"/>
      <c r="V1371" s="9"/>
      <c r="AO1371"/>
      <c r="AP1371"/>
      <c r="AQ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  <c r="BJ1371"/>
      <c r="BK1371"/>
      <c r="BL1371"/>
      <c r="BM1371"/>
      <c r="BN1371"/>
      <c r="BO1371"/>
    </row>
    <row r="1372" spans="3:67" s="1" customFormat="1" hidden="1">
      <c r="C1372" s="14"/>
      <c r="F1372" s="17"/>
      <c r="G1372" s="18"/>
      <c r="T1372" s="9"/>
      <c r="U1372" s="9"/>
      <c r="V1372" s="9"/>
      <c r="AO1372"/>
      <c r="AP1372"/>
      <c r="AQ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  <c r="BJ1372"/>
      <c r="BK1372"/>
      <c r="BL1372"/>
      <c r="BM1372"/>
      <c r="BN1372"/>
      <c r="BO1372"/>
    </row>
    <row r="1373" spans="3:67" s="1" customFormat="1" hidden="1">
      <c r="C1373" s="14"/>
      <c r="F1373" s="17"/>
      <c r="G1373" s="18"/>
      <c r="T1373" s="9"/>
      <c r="U1373" s="9"/>
      <c r="V1373" s="9"/>
      <c r="AO1373"/>
      <c r="AP1373"/>
      <c r="AQ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/>
      <c r="BN1373"/>
      <c r="BO1373"/>
    </row>
    <row r="1374" spans="3:67" s="1" customFormat="1" hidden="1">
      <c r="C1374" s="14"/>
      <c r="F1374" s="17"/>
      <c r="G1374" s="18"/>
      <c r="T1374" s="9"/>
      <c r="U1374" s="9"/>
      <c r="V1374" s="9"/>
      <c r="AO1374"/>
      <c r="AP1374"/>
      <c r="AQ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</row>
    <row r="1375" spans="3:67" s="1" customFormat="1" hidden="1">
      <c r="C1375" s="14"/>
      <c r="F1375" s="17"/>
      <c r="G1375" s="18"/>
      <c r="T1375" s="9"/>
      <c r="U1375" s="9"/>
      <c r="V1375" s="9"/>
      <c r="AO1375"/>
      <c r="AP1375"/>
      <c r="AQ1375"/>
      <c r="AR1375"/>
      <c r="AS1375"/>
      <c r="AT1375"/>
      <c r="AU1375"/>
      <c r="AV1375"/>
      <c r="AW1375"/>
      <c r="AX1375"/>
      <c r="AY1375"/>
      <c r="AZ1375"/>
      <c r="BA1375"/>
      <c r="BB1375"/>
      <c r="BC1375"/>
      <c r="BD1375"/>
      <c r="BE1375"/>
      <c r="BF1375"/>
      <c r="BG1375"/>
      <c r="BH1375"/>
      <c r="BI1375"/>
      <c r="BJ1375"/>
      <c r="BK1375"/>
      <c r="BL1375"/>
      <c r="BM1375"/>
      <c r="BN1375"/>
      <c r="BO1375"/>
    </row>
    <row r="1376" spans="3:67" s="1" customFormat="1" hidden="1">
      <c r="C1376" s="14"/>
      <c r="F1376" s="17"/>
      <c r="G1376" s="18"/>
      <c r="T1376" s="9"/>
      <c r="U1376" s="9"/>
      <c r="V1376" s="9"/>
      <c r="AO1376"/>
      <c r="AP1376"/>
      <c r="AQ1376"/>
      <c r="AR1376"/>
      <c r="AS1376"/>
      <c r="AT1376"/>
      <c r="AU1376"/>
      <c r="AV1376"/>
      <c r="AW1376"/>
      <c r="AX1376"/>
      <c r="AY1376"/>
      <c r="AZ1376"/>
      <c r="BA1376"/>
      <c r="BB1376"/>
      <c r="BC1376"/>
      <c r="BD1376"/>
      <c r="BE1376"/>
      <c r="BF1376"/>
      <c r="BG1376"/>
      <c r="BH1376"/>
      <c r="BI1376"/>
      <c r="BJ1376"/>
      <c r="BK1376"/>
      <c r="BL1376"/>
      <c r="BM1376"/>
      <c r="BN1376"/>
      <c r="BO1376"/>
    </row>
    <row r="1377" spans="3:67" s="1" customFormat="1" hidden="1">
      <c r="C1377" s="14"/>
      <c r="F1377" s="17"/>
      <c r="G1377" s="18"/>
      <c r="T1377" s="9"/>
      <c r="U1377" s="9"/>
      <c r="V1377" s="9"/>
      <c r="AO1377"/>
      <c r="AP1377"/>
      <c r="AQ1377"/>
      <c r="AR1377"/>
      <c r="AS1377"/>
      <c r="AT1377"/>
      <c r="AU1377"/>
      <c r="AV1377"/>
      <c r="AW1377"/>
      <c r="AX1377"/>
      <c r="AY1377"/>
      <c r="AZ1377"/>
      <c r="BA1377"/>
      <c r="BB1377"/>
      <c r="BC1377"/>
      <c r="BD1377"/>
      <c r="BE1377"/>
      <c r="BF1377"/>
      <c r="BG1377"/>
      <c r="BH1377"/>
      <c r="BI1377"/>
      <c r="BJ1377"/>
      <c r="BK1377"/>
      <c r="BL1377"/>
      <c r="BM1377"/>
      <c r="BN1377"/>
      <c r="BO1377"/>
    </row>
    <row r="1378" spans="3:67" s="1" customFormat="1" hidden="1">
      <c r="C1378" s="14"/>
      <c r="F1378" s="17"/>
      <c r="G1378" s="18"/>
      <c r="T1378" s="9"/>
      <c r="U1378" s="9"/>
      <c r="V1378" s="9"/>
      <c r="AO1378"/>
      <c r="AP1378"/>
      <c r="AQ1378"/>
      <c r="AR1378"/>
      <c r="AS1378"/>
      <c r="AT1378"/>
      <c r="AU1378"/>
      <c r="AV1378"/>
      <c r="AW1378"/>
      <c r="AX1378"/>
      <c r="AY1378"/>
      <c r="AZ1378"/>
      <c r="BA1378"/>
      <c r="BB1378"/>
      <c r="BC1378"/>
      <c r="BD1378"/>
      <c r="BE1378"/>
      <c r="BF1378"/>
      <c r="BG1378"/>
      <c r="BH1378"/>
      <c r="BI1378"/>
      <c r="BJ1378"/>
      <c r="BK1378"/>
      <c r="BL1378"/>
      <c r="BM1378"/>
      <c r="BN1378"/>
      <c r="BO1378"/>
    </row>
    <row r="1379" spans="3:67" s="1" customFormat="1" hidden="1">
      <c r="C1379" s="14"/>
      <c r="F1379" s="17"/>
      <c r="G1379" s="18"/>
      <c r="T1379" s="9"/>
      <c r="U1379" s="9"/>
      <c r="V1379" s="9"/>
      <c r="AO1379"/>
      <c r="AP1379"/>
      <c r="AQ1379"/>
      <c r="AR1379"/>
      <c r="AS1379"/>
      <c r="AT1379"/>
      <c r="AU1379"/>
      <c r="AV1379"/>
      <c r="AW1379"/>
      <c r="AX1379"/>
      <c r="AY1379"/>
      <c r="AZ1379"/>
      <c r="BA1379"/>
      <c r="BB1379"/>
      <c r="BC1379"/>
      <c r="BD1379"/>
      <c r="BE1379"/>
      <c r="BF1379"/>
      <c r="BG1379"/>
      <c r="BH1379"/>
      <c r="BI1379"/>
      <c r="BJ1379"/>
      <c r="BK1379"/>
      <c r="BL1379"/>
      <c r="BM1379"/>
      <c r="BN1379"/>
      <c r="BO1379"/>
    </row>
    <row r="1380" spans="3:67" s="1" customFormat="1" hidden="1">
      <c r="C1380" s="14"/>
      <c r="F1380" s="17"/>
      <c r="G1380" s="18"/>
      <c r="T1380" s="9"/>
      <c r="U1380" s="9"/>
      <c r="V1380" s="9"/>
      <c r="AO1380"/>
      <c r="AP1380"/>
      <c r="AQ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/>
      <c r="BN1380"/>
      <c r="BO1380"/>
    </row>
    <row r="1381" spans="3:67" s="1" customFormat="1" hidden="1">
      <c r="C1381" s="14"/>
      <c r="F1381" s="17"/>
      <c r="G1381" s="18"/>
      <c r="T1381" s="9"/>
      <c r="U1381" s="9"/>
      <c r="V1381" s="9"/>
      <c r="AO1381"/>
      <c r="AP1381"/>
      <c r="AQ1381"/>
      <c r="AR1381"/>
      <c r="AS1381"/>
      <c r="AT1381"/>
      <c r="AU1381"/>
      <c r="AV1381"/>
      <c r="AW1381"/>
      <c r="AX1381"/>
      <c r="AY1381"/>
      <c r="AZ1381"/>
      <c r="BA1381"/>
      <c r="BB1381"/>
      <c r="BC1381"/>
      <c r="BD1381"/>
      <c r="BE1381"/>
      <c r="BF1381"/>
      <c r="BG1381"/>
      <c r="BH1381"/>
      <c r="BI1381"/>
      <c r="BJ1381"/>
      <c r="BK1381"/>
      <c r="BL1381"/>
      <c r="BM1381"/>
      <c r="BN1381"/>
      <c r="BO1381"/>
    </row>
    <row r="1382" spans="3:67" s="1" customFormat="1" hidden="1">
      <c r="C1382" s="14"/>
      <c r="F1382" s="17"/>
      <c r="G1382" s="18"/>
      <c r="T1382" s="9"/>
      <c r="U1382" s="9"/>
      <c r="V1382" s="9"/>
      <c r="AO1382"/>
      <c r="AP1382"/>
      <c r="AQ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</row>
    <row r="1383" spans="3:67" s="1" customFormat="1" hidden="1">
      <c r="C1383" s="14"/>
      <c r="F1383" s="17"/>
      <c r="G1383" s="18"/>
      <c r="T1383" s="9"/>
      <c r="U1383" s="9"/>
      <c r="V1383" s="9"/>
      <c r="AO1383"/>
      <c r="AP1383"/>
      <c r="AQ1383"/>
      <c r="AR1383"/>
      <c r="AS1383"/>
      <c r="AT1383"/>
      <c r="AU1383"/>
      <c r="AV1383"/>
      <c r="AW1383"/>
      <c r="AX1383"/>
      <c r="AY1383"/>
      <c r="AZ1383"/>
      <c r="BA1383"/>
      <c r="BB1383"/>
      <c r="BC1383"/>
      <c r="BD1383"/>
      <c r="BE1383"/>
      <c r="BF1383"/>
      <c r="BG1383"/>
      <c r="BH1383"/>
      <c r="BI1383"/>
      <c r="BJ1383"/>
      <c r="BK1383"/>
      <c r="BL1383"/>
      <c r="BM1383"/>
      <c r="BN1383"/>
      <c r="BO1383"/>
    </row>
    <row r="1384" spans="3:67" s="1" customFormat="1" hidden="1">
      <c r="C1384" s="14"/>
      <c r="F1384" s="17"/>
      <c r="G1384" s="18"/>
      <c r="T1384" s="9"/>
      <c r="U1384" s="9"/>
      <c r="V1384" s="9"/>
      <c r="AO1384"/>
      <c r="AP1384"/>
      <c r="AQ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</row>
    <row r="1385" spans="3:67" s="1" customFormat="1" hidden="1">
      <c r="C1385" s="14"/>
      <c r="F1385" s="17"/>
      <c r="G1385" s="18"/>
      <c r="T1385" s="9"/>
      <c r="U1385" s="9"/>
      <c r="V1385" s="9"/>
      <c r="AO1385"/>
      <c r="AP1385"/>
      <c r="AQ1385"/>
      <c r="AR1385"/>
      <c r="AS1385"/>
      <c r="AT1385"/>
      <c r="AU1385"/>
      <c r="AV1385"/>
      <c r="AW1385"/>
      <c r="AX1385"/>
      <c r="AY1385"/>
      <c r="AZ1385"/>
      <c r="BA1385"/>
      <c r="BB1385"/>
      <c r="BC1385"/>
      <c r="BD1385"/>
      <c r="BE1385"/>
      <c r="BF1385"/>
      <c r="BG1385"/>
      <c r="BH1385"/>
      <c r="BI1385"/>
      <c r="BJ1385"/>
      <c r="BK1385"/>
      <c r="BL1385"/>
      <c r="BM1385"/>
      <c r="BN1385"/>
      <c r="BO1385"/>
    </row>
    <row r="1386" spans="3:67" s="1" customFormat="1" hidden="1">
      <c r="C1386" s="14"/>
      <c r="F1386" s="17"/>
      <c r="G1386" s="18"/>
      <c r="T1386" s="9"/>
      <c r="U1386" s="9"/>
      <c r="V1386" s="9"/>
      <c r="AO1386"/>
      <c r="AP1386"/>
      <c r="AQ1386"/>
      <c r="AR1386"/>
      <c r="AS1386"/>
      <c r="AT1386"/>
      <c r="AU1386"/>
      <c r="AV1386"/>
      <c r="AW1386"/>
      <c r="AX1386"/>
      <c r="AY1386"/>
      <c r="AZ1386"/>
      <c r="BA1386"/>
      <c r="BB1386"/>
      <c r="BC1386"/>
      <c r="BD1386"/>
      <c r="BE1386"/>
      <c r="BF1386"/>
      <c r="BG1386"/>
      <c r="BH1386"/>
      <c r="BI1386"/>
      <c r="BJ1386"/>
      <c r="BK1386"/>
      <c r="BL1386"/>
      <c r="BM1386"/>
      <c r="BN1386"/>
      <c r="BO1386"/>
    </row>
    <row r="1387" spans="3:67" s="1" customFormat="1" hidden="1">
      <c r="C1387" s="14"/>
      <c r="F1387" s="17"/>
      <c r="G1387" s="18"/>
      <c r="T1387" s="9"/>
      <c r="U1387" s="9"/>
      <c r="V1387" s="9"/>
      <c r="AO1387"/>
      <c r="AP1387"/>
      <c r="AQ1387"/>
      <c r="AR1387"/>
      <c r="AS1387"/>
      <c r="AT1387"/>
      <c r="AU1387"/>
      <c r="AV1387"/>
      <c r="AW1387"/>
      <c r="AX1387"/>
      <c r="AY1387"/>
      <c r="AZ1387"/>
      <c r="BA1387"/>
      <c r="BB1387"/>
      <c r="BC1387"/>
      <c r="BD1387"/>
      <c r="BE1387"/>
      <c r="BF1387"/>
      <c r="BG1387"/>
      <c r="BH1387"/>
      <c r="BI1387"/>
      <c r="BJ1387"/>
      <c r="BK1387"/>
      <c r="BL1387"/>
      <c r="BM1387"/>
      <c r="BN1387"/>
      <c r="BO1387"/>
    </row>
    <row r="1388" spans="3:67" s="1" customFormat="1" hidden="1">
      <c r="C1388" s="14"/>
      <c r="F1388" s="17"/>
      <c r="G1388" s="18"/>
      <c r="T1388" s="9"/>
      <c r="U1388" s="9"/>
      <c r="V1388" s="9"/>
      <c r="AO1388"/>
      <c r="AP1388"/>
      <c r="AQ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/>
      <c r="BN1388"/>
      <c r="BO1388"/>
    </row>
    <row r="1389" spans="3:67" s="1" customFormat="1" hidden="1">
      <c r="C1389" s="14"/>
      <c r="F1389" s="17"/>
      <c r="G1389" s="18"/>
      <c r="T1389" s="9"/>
      <c r="U1389" s="9"/>
      <c r="V1389" s="9"/>
      <c r="AO1389"/>
      <c r="AP1389"/>
      <c r="AQ1389"/>
      <c r="AR1389"/>
      <c r="AS1389"/>
      <c r="AT1389"/>
      <c r="AU1389"/>
      <c r="AV1389"/>
      <c r="AW1389"/>
      <c r="AX1389"/>
      <c r="AY1389"/>
      <c r="AZ1389"/>
      <c r="BA1389"/>
      <c r="BB1389"/>
      <c r="BC1389"/>
      <c r="BD1389"/>
      <c r="BE1389"/>
      <c r="BF1389"/>
      <c r="BG1389"/>
      <c r="BH1389"/>
      <c r="BI1389"/>
      <c r="BJ1389"/>
      <c r="BK1389"/>
      <c r="BL1389"/>
      <c r="BM1389"/>
      <c r="BN1389"/>
      <c r="BO1389"/>
    </row>
    <row r="1390" spans="3:67" s="1" customFormat="1" hidden="1">
      <c r="C1390" s="14"/>
      <c r="F1390" s="17"/>
      <c r="G1390" s="18"/>
      <c r="T1390" s="9"/>
      <c r="U1390" s="9"/>
      <c r="V1390" s="9"/>
      <c r="AO1390"/>
      <c r="AP1390"/>
      <c r="AQ1390"/>
      <c r="AR1390"/>
      <c r="AS1390"/>
      <c r="AT1390"/>
      <c r="AU1390"/>
      <c r="AV1390"/>
      <c r="AW1390"/>
      <c r="AX1390"/>
      <c r="AY1390"/>
      <c r="AZ1390"/>
      <c r="BA1390"/>
      <c r="BB1390"/>
      <c r="BC1390"/>
      <c r="BD1390"/>
      <c r="BE1390"/>
      <c r="BF1390"/>
      <c r="BG1390"/>
      <c r="BH1390"/>
      <c r="BI1390"/>
      <c r="BJ1390"/>
      <c r="BK1390"/>
      <c r="BL1390"/>
      <c r="BM1390"/>
      <c r="BN1390"/>
      <c r="BO1390"/>
    </row>
    <row r="1391" spans="3:67" s="1" customFormat="1" hidden="1">
      <c r="C1391" s="14"/>
      <c r="F1391" s="17"/>
      <c r="G1391" s="18"/>
      <c r="T1391" s="9"/>
      <c r="U1391" s="9"/>
      <c r="V1391" s="9"/>
      <c r="AO1391"/>
      <c r="AP1391"/>
      <c r="AQ1391"/>
      <c r="AR1391"/>
      <c r="AS1391"/>
      <c r="AT1391"/>
      <c r="AU1391"/>
      <c r="AV1391"/>
      <c r="AW1391"/>
      <c r="AX1391"/>
      <c r="AY1391"/>
      <c r="AZ1391"/>
      <c r="BA1391"/>
      <c r="BB1391"/>
      <c r="BC1391"/>
      <c r="BD1391"/>
      <c r="BE1391"/>
      <c r="BF1391"/>
      <c r="BG1391"/>
      <c r="BH1391"/>
      <c r="BI1391"/>
      <c r="BJ1391"/>
      <c r="BK1391"/>
      <c r="BL1391"/>
      <c r="BM1391"/>
      <c r="BN1391"/>
      <c r="BO1391"/>
    </row>
    <row r="1392" spans="3:67" s="1" customFormat="1" hidden="1">
      <c r="C1392" s="14"/>
      <c r="F1392" s="17"/>
      <c r="G1392" s="18"/>
      <c r="T1392" s="9"/>
      <c r="U1392" s="9"/>
      <c r="V1392" s="9"/>
      <c r="AO1392"/>
      <c r="AP1392"/>
      <c r="AQ1392"/>
      <c r="AR1392"/>
      <c r="AS1392"/>
      <c r="AT1392"/>
      <c r="AU1392"/>
      <c r="AV1392"/>
      <c r="AW1392"/>
      <c r="AX1392"/>
      <c r="AY1392"/>
      <c r="AZ1392"/>
      <c r="BA1392"/>
      <c r="BB1392"/>
      <c r="BC1392"/>
      <c r="BD1392"/>
      <c r="BE1392"/>
      <c r="BF1392"/>
      <c r="BG1392"/>
      <c r="BH1392"/>
      <c r="BI1392"/>
      <c r="BJ1392"/>
      <c r="BK1392"/>
      <c r="BL1392"/>
      <c r="BM1392"/>
      <c r="BN1392"/>
      <c r="BO1392"/>
    </row>
    <row r="1393" spans="3:67" s="1" customFormat="1" hidden="1">
      <c r="C1393" s="14"/>
      <c r="F1393" s="17"/>
      <c r="G1393" s="18"/>
      <c r="T1393" s="9"/>
      <c r="U1393" s="9"/>
      <c r="V1393" s="9"/>
      <c r="AO1393"/>
      <c r="AP1393"/>
      <c r="AQ1393"/>
      <c r="AR1393"/>
      <c r="AS1393"/>
      <c r="AT1393"/>
      <c r="AU1393"/>
      <c r="AV1393"/>
      <c r="AW1393"/>
      <c r="AX1393"/>
      <c r="AY1393"/>
      <c r="AZ1393"/>
      <c r="BA1393"/>
      <c r="BB1393"/>
      <c r="BC1393"/>
      <c r="BD1393"/>
      <c r="BE1393"/>
      <c r="BF1393"/>
      <c r="BG1393"/>
      <c r="BH1393"/>
      <c r="BI1393"/>
      <c r="BJ1393"/>
      <c r="BK1393"/>
      <c r="BL1393"/>
      <c r="BM1393"/>
      <c r="BN1393"/>
      <c r="BO1393"/>
    </row>
    <row r="1394" spans="3:67" s="1" customFormat="1" hidden="1">
      <c r="C1394" s="14"/>
      <c r="F1394" s="17"/>
      <c r="G1394" s="18"/>
      <c r="T1394" s="9"/>
      <c r="U1394" s="9"/>
      <c r="V1394" s="9"/>
      <c r="AO1394"/>
      <c r="AP1394"/>
      <c r="AQ1394"/>
      <c r="AR1394"/>
      <c r="AS1394"/>
      <c r="AT1394"/>
      <c r="AU1394"/>
      <c r="AV1394"/>
      <c r="AW1394"/>
      <c r="AX1394"/>
      <c r="AY1394"/>
      <c r="AZ1394"/>
      <c r="BA1394"/>
      <c r="BB1394"/>
      <c r="BC1394"/>
      <c r="BD1394"/>
      <c r="BE1394"/>
      <c r="BF1394"/>
      <c r="BG1394"/>
      <c r="BH1394"/>
      <c r="BI1394"/>
      <c r="BJ1394"/>
      <c r="BK1394"/>
      <c r="BL1394"/>
      <c r="BM1394"/>
      <c r="BN1394"/>
      <c r="BO1394"/>
    </row>
    <row r="1395" spans="3:67" s="1" customFormat="1" hidden="1">
      <c r="C1395" s="14"/>
      <c r="F1395" s="17"/>
      <c r="G1395" s="18"/>
      <c r="T1395" s="9"/>
      <c r="U1395" s="9"/>
      <c r="V1395" s="9"/>
      <c r="AO1395"/>
      <c r="AP1395"/>
      <c r="AQ1395"/>
      <c r="AR1395"/>
      <c r="AS1395"/>
      <c r="AT1395"/>
      <c r="AU1395"/>
      <c r="AV1395"/>
      <c r="AW1395"/>
      <c r="AX1395"/>
      <c r="AY1395"/>
      <c r="AZ1395"/>
      <c r="BA1395"/>
      <c r="BB1395"/>
      <c r="BC1395"/>
      <c r="BD1395"/>
      <c r="BE1395"/>
      <c r="BF1395"/>
      <c r="BG1395"/>
      <c r="BH1395"/>
      <c r="BI1395"/>
      <c r="BJ1395"/>
      <c r="BK1395"/>
      <c r="BL1395"/>
      <c r="BM1395"/>
      <c r="BN1395"/>
      <c r="BO1395"/>
    </row>
    <row r="1396" spans="3:67" s="1" customFormat="1" hidden="1">
      <c r="C1396" s="14"/>
      <c r="F1396" s="17"/>
      <c r="G1396" s="18"/>
      <c r="T1396" s="9"/>
      <c r="U1396" s="9"/>
      <c r="V1396" s="9"/>
      <c r="AO1396"/>
      <c r="AP1396"/>
      <c r="AQ1396"/>
      <c r="AR1396"/>
      <c r="AS1396"/>
      <c r="AT1396"/>
      <c r="AU1396"/>
      <c r="AV1396"/>
      <c r="AW1396"/>
      <c r="AX1396"/>
      <c r="AY1396"/>
      <c r="AZ1396"/>
      <c r="BA1396"/>
      <c r="BB1396"/>
      <c r="BC1396"/>
      <c r="BD1396"/>
      <c r="BE1396"/>
      <c r="BF1396"/>
      <c r="BG1396"/>
      <c r="BH1396"/>
      <c r="BI1396"/>
      <c r="BJ1396"/>
      <c r="BK1396"/>
      <c r="BL1396"/>
      <c r="BM1396"/>
      <c r="BN1396"/>
      <c r="BO1396"/>
    </row>
    <row r="1397" spans="3:67" s="1" customFormat="1" hidden="1">
      <c r="C1397" s="14"/>
      <c r="F1397" s="17"/>
      <c r="G1397" s="18"/>
      <c r="T1397" s="9"/>
      <c r="U1397" s="9"/>
      <c r="V1397" s="9"/>
      <c r="AO1397"/>
      <c r="AP1397"/>
      <c r="AQ1397"/>
      <c r="AR1397"/>
      <c r="AS1397"/>
      <c r="AT1397"/>
      <c r="AU1397"/>
      <c r="AV1397"/>
      <c r="AW1397"/>
      <c r="AX1397"/>
      <c r="AY1397"/>
      <c r="AZ1397"/>
      <c r="BA1397"/>
      <c r="BB1397"/>
      <c r="BC1397"/>
      <c r="BD1397"/>
      <c r="BE1397"/>
      <c r="BF1397"/>
      <c r="BG1397"/>
      <c r="BH1397"/>
      <c r="BI1397"/>
      <c r="BJ1397"/>
      <c r="BK1397"/>
      <c r="BL1397"/>
      <c r="BM1397"/>
      <c r="BN1397"/>
      <c r="BO1397"/>
    </row>
    <row r="1398" spans="3:67" s="1" customFormat="1" hidden="1">
      <c r="C1398" s="14"/>
      <c r="F1398" s="17"/>
      <c r="G1398" s="18"/>
      <c r="T1398" s="9"/>
      <c r="U1398" s="9"/>
      <c r="V1398" s="9"/>
      <c r="AO1398"/>
      <c r="AP1398"/>
      <c r="AQ1398"/>
      <c r="AR1398"/>
      <c r="AS1398"/>
      <c r="AT1398"/>
      <c r="AU1398"/>
      <c r="AV1398"/>
      <c r="AW1398"/>
      <c r="AX1398"/>
      <c r="AY1398"/>
      <c r="AZ1398"/>
      <c r="BA1398"/>
      <c r="BB1398"/>
      <c r="BC1398"/>
      <c r="BD1398"/>
      <c r="BE1398"/>
      <c r="BF1398"/>
      <c r="BG1398"/>
      <c r="BH1398"/>
      <c r="BI1398"/>
      <c r="BJ1398"/>
      <c r="BK1398"/>
      <c r="BL1398"/>
      <c r="BM1398"/>
      <c r="BN1398"/>
      <c r="BO1398"/>
    </row>
    <row r="1399" spans="3:67" s="1" customFormat="1" hidden="1">
      <c r="C1399" s="14"/>
      <c r="F1399" s="17"/>
      <c r="G1399" s="18"/>
      <c r="T1399" s="9"/>
      <c r="U1399" s="9"/>
      <c r="V1399" s="9"/>
      <c r="AO1399"/>
      <c r="AP1399"/>
      <c r="AQ1399"/>
      <c r="AR1399"/>
      <c r="AS1399"/>
      <c r="AT1399"/>
      <c r="AU1399"/>
      <c r="AV1399"/>
      <c r="AW1399"/>
      <c r="AX1399"/>
      <c r="AY1399"/>
      <c r="AZ1399"/>
      <c r="BA1399"/>
      <c r="BB1399"/>
      <c r="BC1399"/>
      <c r="BD1399"/>
      <c r="BE1399"/>
      <c r="BF1399"/>
      <c r="BG1399"/>
      <c r="BH1399"/>
      <c r="BI1399"/>
      <c r="BJ1399"/>
      <c r="BK1399"/>
      <c r="BL1399"/>
      <c r="BM1399"/>
      <c r="BN1399"/>
      <c r="BO1399"/>
    </row>
    <row r="1400" spans="3:67" s="1" customFormat="1" hidden="1">
      <c r="C1400" s="14"/>
      <c r="F1400" s="17"/>
      <c r="G1400" s="18"/>
      <c r="T1400" s="9"/>
      <c r="U1400" s="9"/>
      <c r="V1400" s="9"/>
      <c r="AO1400"/>
      <c r="AP1400"/>
      <c r="AQ1400"/>
      <c r="AR1400"/>
      <c r="AS1400"/>
      <c r="AT1400"/>
      <c r="AU1400"/>
      <c r="AV1400"/>
      <c r="AW1400"/>
      <c r="AX1400"/>
      <c r="AY1400"/>
      <c r="AZ1400"/>
      <c r="BA1400"/>
      <c r="BB1400"/>
      <c r="BC1400"/>
      <c r="BD1400"/>
      <c r="BE1400"/>
      <c r="BF1400"/>
      <c r="BG1400"/>
      <c r="BH1400"/>
      <c r="BI1400"/>
      <c r="BJ1400"/>
      <c r="BK1400"/>
      <c r="BL1400"/>
      <c r="BM1400"/>
      <c r="BN1400"/>
      <c r="BO1400"/>
    </row>
    <row r="1401" spans="3:67" s="1" customFormat="1" hidden="1">
      <c r="C1401" s="14"/>
      <c r="F1401" s="17"/>
      <c r="G1401" s="18"/>
      <c r="T1401" s="9"/>
      <c r="U1401" s="9"/>
      <c r="V1401" s="9"/>
      <c r="AO1401"/>
      <c r="AP1401"/>
      <c r="AQ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  <c r="BJ1401"/>
      <c r="BK1401"/>
      <c r="BL1401"/>
      <c r="BM1401"/>
      <c r="BN1401"/>
      <c r="BO1401"/>
    </row>
    <row r="1402" spans="3:67" s="1" customFormat="1" hidden="1">
      <c r="C1402" s="14"/>
      <c r="F1402" s="17"/>
      <c r="G1402" s="18"/>
      <c r="T1402" s="9"/>
      <c r="U1402" s="9"/>
      <c r="V1402" s="9"/>
      <c r="AO1402"/>
      <c r="AP1402"/>
      <c r="AQ1402"/>
      <c r="AR1402"/>
      <c r="AS1402"/>
      <c r="AT1402"/>
      <c r="AU1402"/>
      <c r="AV1402"/>
      <c r="AW1402"/>
      <c r="AX1402"/>
      <c r="AY1402"/>
      <c r="AZ1402"/>
      <c r="BA1402"/>
      <c r="BB1402"/>
      <c r="BC1402"/>
      <c r="BD1402"/>
      <c r="BE1402"/>
      <c r="BF1402"/>
      <c r="BG1402"/>
      <c r="BH1402"/>
      <c r="BI1402"/>
      <c r="BJ1402"/>
      <c r="BK1402"/>
      <c r="BL1402"/>
      <c r="BM1402"/>
      <c r="BN1402"/>
      <c r="BO1402"/>
    </row>
    <row r="1403" spans="3:67" s="1" customFormat="1" hidden="1">
      <c r="C1403" s="14"/>
      <c r="F1403" s="17"/>
      <c r="G1403" s="18"/>
      <c r="T1403" s="9"/>
      <c r="U1403" s="9"/>
      <c r="V1403" s="9"/>
      <c r="AO1403"/>
      <c r="AP1403"/>
      <c r="AQ1403"/>
      <c r="AR1403"/>
      <c r="AS1403"/>
      <c r="AT1403"/>
      <c r="AU1403"/>
      <c r="AV1403"/>
      <c r="AW1403"/>
      <c r="AX1403"/>
      <c r="AY1403"/>
      <c r="AZ1403"/>
      <c r="BA1403"/>
      <c r="BB1403"/>
      <c r="BC1403"/>
      <c r="BD1403"/>
      <c r="BE1403"/>
      <c r="BF1403"/>
      <c r="BG1403"/>
      <c r="BH1403"/>
      <c r="BI1403"/>
      <c r="BJ1403"/>
      <c r="BK1403"/>
      <c r="BL1403"/>
      <c r="BM1403"/>
      <c r="BN1403"/>
      <c r="BO1403"/>
    </row>
    <row r="1404" spans="3:67" s="1" customFormat="1" hidden="1">
      <c r="C1404" s="14"/>
      <c r="F1404" s="17"/>
      <c r="G1404" s="18"/>
      <c r="T1404" s="9"/>
      <c r="U1404" s="9"/>
      <c r="V1404" s="9"/>
      <c r="AO1404"/>
      <c r="AP1404"/>
      <c r="AQ1404"/>
      <c r="AR1404"/>
      <c r="AS1404"/>
      <c r="AT1404"/>
      <c r="AU1404"/>
      <c r="AV1404"/>
      <c r="AW1404"/>
      <c r="AX1404"/>
      <c r="AY1404"/>
      <c r="AZ1404"/>
      <c r="BA1404"/>
      <c r="BB1404"/>
      <c r="BC1404"/>
      <c r="BD1404"/>
      <c r="BE1404"/>
      <c r="BF1404"/>
      <c r="BG1404"/>
      <c r="BH1404"/>
      <c r="BI1404"/>
      <c r="BJ1404"/>
      <c r="BK1404"/>
      <c r="BL1404"/>
      <c r="BM1404"/>
      <c r="BN1404"/>
      <c r="BO1404"/>
    </row>
    <row r="1405" spans="3:67" s="1" customFormat="1" hidden="1">
      <c r="C1405" s="14"/>
      <c r="F1405" s="17"/>
      <c r="G1405" s="18"/>
      <c r="T1405" s="9"/>
      <c r="U1405" s="9"/>
      <c r="V1405" s="9"/>
      <c r="AO1405"/>
      <c r="AP1405"/>
      <c r="AQ1405"/>
      <c r="AR1405"/>
      <c r="AS1405"/>
      <c r="AT1405"/>
      <c r="AU1405"/>
      <c r="AV1405"/>
      <c r="AW1405"/>
      <c r="AX1405"/>
      <c r="AY1405"/>
      <c r="AZ1405"/>
      <c r="BA1405"/>
      <c r="BB1405"/>
      <c r="BC1405"/>
      <c r="BD1405"/>
      <c r="BE1405"/>
      <c r="BF1405"/>
      <c r="BG1405"/>
      <c r="BH1405"/>
      <c r="BI1405"/>
      <c r="BJ1405"/>
      <c r="BK1405"/>
      <c r="BL1405"/>
      <c r="BM1405"/>
      <c r="BN1405"/>
      <c r="BO1405"/>
    </row>
    <row r="1406" spans="3:67" s="1" customFormat="1" hidden="1">
      <c r="C1406" s="14"/>
      <c r="F1406" s="17"/>
      <c r="G1406" s="18"/>
      <c r="T1406" s="9"/>
      <c r="U1406" s="9"/>
      <c r="V1406" s="9"/>
      <c r="AO1406"/>
      <c r="AP1406"/>
      <c r="AQ1406"/>
      <c r="AR1406"/>
      <c r="AS1406"/>
      <c r="AT1406"/>
      <c r="AU1406"/>
      <c r="AV1406"/>
      <c r="AW1406"/>
      <c r="AX1406"/>
      <c r="AY1406"/>
      <c r="AZ1406"/>
      <c r="BA1406"/>
      <c r="BB1406"/>
      <c r="BC1406"/>
      <c r="BD1406"/>
      <c r="BE1406"/>
      <c r="BF1406"/>
      <c r="BG1406"/>
      <c r="BH1406"/>
      <c r="BI1406"/>
      <c r="BJ1406"/>
      <c r="BK1406"/>
      <c r="BL1406"/>
      <c r="BM1406"/>
      <c r="BN1406"/>
      <c r="BO1406"/>
    </row>
    <row r="1407" spans="3:67" s="1" customFormat="1" hidden="1">
      <c r="C1407" s="14"/>
      <c r="F1407" s="17"/>
      <c r="G1407" s="18"/>
      <c r="T1407" s="9"/>
      <c r="U1407" s="9"/>
      <c r="V1407" s="9"/>
      <c r="AO1407"/>
      <c r="AP1407"/>
      <c r="AQ1407"/>
      <c r="AR1407"/>
      <c r="AS1407"/>
      <c r="AT1407"/>
      <c r="AU1407"/>
      <c r="AV1407"/>
      <c r="AW1407"/>
      <c r="AX1407"/>
      <c r="AY1407"/>
      <c r="AZ1407"/>
      <c r="BA1407"/>
      <c r="BB1407"/>
      <c r="BC1407"/>
      <c r="BD1407"/>
      <c r="BE1407"/>
      <c r="BF1407"/>
      <c r="BG1407"/>
      <c r="BH1407"/>
      <c r="BI1407"/>
      <c r="BJ1407"/>
      <c r="BK1407"/>
      <c r="BL1407"/>
      <c r="BM1407"/>
      <c r="BN1407"/>
      <c r="BO1407"/>
    </row>
    <row r="1408" spans="3:67" s="1" customFormat="1" hidden="1">
      <c r="C1408" s="14"/>
      <c r="F1408" s="17"/>
      <c r="G1408" s="18"/>
      <c r="T1408" s="9"/>
      <c r="U1408" s="9"/>
      <c r="V1408" s="9"/>
      <c r="AO1408"/>
      <c r="AP1408"/>
      <c r="AQ1408"/>
      <c r="AR1408"/>
      <c r="AS1408"/>
      <c r="AT1408"/>
      <c r="AU1408"/>
      <c r="AV1408"/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  <c r="BJ1408"/>
      <c r="BK1408"/>
      <c r="BL1408"/>
      <c r="BM1408"/>
      <c r="BN1408"/>
      <c r="BO1408"/>
    </row>
    <row r="1409" spans="3:67" s="1" customFormat="1" hidden="1">
      <c r="C1409" s="14"/>
      <c r="F1409" s="17"/>
      <c r="G1409" s="18"/>
      <c r="T1409" s="9"/>
      <c r="U1409" s="9"/>
      <c r="V1409" s="9"/>
      <c r="AO1409"/>
      <c r="AP1409"/>
      <c r="AQ1409"/>
      <c r="AR1409"/>
      <c r="AS1409"/>
      <c r="AT1409"/>
      <c r="AU1409"/>
      <c r="AV1409"/>
      <c r="AW1409"/>
      <c r="AX1409"/>
      <c r="AY1409"/>
      <c r="AZ1409"/>
      <c r="BA1409"/>
      <c r="BB1409"/>
      <c r="BC1409"/>
      <c r="BD1409"/>
      <c r="BE1409"/>
      <c r="BF1409"/>
      <c r="BG1409"/>
      <c r="BH1409"/>
      <c r="BI1409"/>
      <c r="BJ1409"/>
      <c r="BK1409"/>
      <c r="BL1409"/>
      <c r="BM1409"/>
      <c r="BN1409"/>
      <c r="BO1409"/>
    </row>
    <row r="1410" spans="3:67" s="1" customFormat="1" hidden="1">
      <c r="C1410" s="14"/>
      <c r="F1410" s="17"/>
      <c r="G1410" s="18"/>
      <c r="T1410" s="9"/>
      <c r="U1410" s="9"/>
      <c r="V1410" s="9"/>
      <c r="AO1410"/>
      <c r="AP1410"/>
      <c r="AQ1410"/>
      <c r="AR1410"/>
      <c r="AS1410"/>
      <c r="AT1410"/>
      <c r="AU1410"/>
      <c r="AV1410"/>
      <c r="AW1410"/>
      <c r="AX1410"/>
      <c r="AY1410"/>
      <c r="AZ1410"/>
      <c r="BA1410"/>
      <c r="BB1410"/>
      <c r="BC1410"/>
      <c r="BD1410"/>
      <c r="BE1410"/>
      <c r="BF1410"/>
      <c r="BG1410"/>
      <c r="BH1410"/>
      <c r="BI1410"/>
      <c r="BJ1410"/>
      <c r="BK1410"/>
      <c r="BL1410"/>
      <c r="BM1410"/>
      <c r="BN1410"/>
      <c r="BO1410"/>
    </row>
    <row r="1411" spans="3:67" s="1" customFormat="1" hidden="1">
      <c r="C1411" s="14"/>
      <c r="F1411" s="17"/>
      <c r="G1411" s="18"/>
      <c r="T1411" s="9"/>
      <c r="U1411" s="9"/>
      <c r="V1411" s="9"/>
      <c r="AO1411"/>
      <c r="AP1411"/>
      <c r="AQ1411"/>
      <c r="AR1411"/>
      <c r="AS1411"/>
      <c r="AT1411"/>
      <c r="AU1411"/>
      <c r="AV1411"/>
      <c r="AW1411"/>
      <c r="AX1411"/>
      <c r="AY1411"/>
      <c r="AZ1411"/>
      <c r="BA1411"/>
      <c r="BB1411"/>
      <c r="BC1411"/>
      <c r="BD1411"/>
      <c r="BE1411"/>
      <c r="BF1411"/>
      <c r="BG1411"/>
      <c r="BH1411"/>
      <c r="BI1411"/>
      <c r="BJ1411"/>
      <c r="BK1411"/>
      <c r="BL1411"/>
      <c r="BM1411"/>
      <c r="BN1411"/>
      <c r="BO1411"/>
    </row>
    <row r="1412" spans="3:67" s="1" customFormat="1" hidden="1">
      <c r="C1412" s="14"/>
      <c r="F1412" s="17"/>
      <c r="G1412" s="18"/>
      <c r="T1412" s="9"/>
      <c r="U1412" s="9"/>
      <c r="V1412" s="9"/>
      <c r="AO1412"/>
      <c r="AP1412"/>
      <c r="AQ1412"/>
      <c r="AR1412"/>
      <c r="AS1412"/>
      <c r="AT1412"/>
      <c r="AU1412"/>
      <c r="AV1412"/>
      <c r="AW1412"/>
      <c r="AX1412"/>
      <c r="AY1412"/>
      <c r="AZ1412"/>
      <c r="BA1412"/>
      <c r="BB1412"/>
      <c r="BC1412"/>
      <c r="BD1412"/>
      <c r="BE1412"/>
      <c r="BF1412"/>
      <c r="BG1412"/>
      <c r="BH1412"/>
      <c r="BI1412"/>
      <c r="BJ1412"/>
      <c r="BK1412"/>
      <c r="BL1412"/>
      <c r="BM1412"/>
      <c r="BN1412"/>
      <c r="BO1412"/>
    </row>
    <row r="1413" spans="3:67" s="1" customFormat="1" hidden="1">
      <c r="C1413" s="14"/>
      <c r="F1413" s="17"/>
      <c r="G1413" s="18"/>
      <c r="T1413" s="9"/>
      <c r="U1413" s="9"/>
      <c r="V1413" s="9"/>
      <c r="AO1413"/>
      <c r="AP1413"/>
      <c r="AQ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  <c r="BJ1413"/>
      <c r="BK1413"/>
      <c r="BL1413"/>
      <c r="BM1413"/>
      <c r="BN1413"/>
      <c r="BO1413"/>
    </row>
    <row r="1414" spans="3:67" s="1" customFormat="1" hidden="1">
      <c r="C1414" s="14"/>
      <c r="F1414" s="17"/>
      <c r="G1414" s="18"/>
      <c r="T1414" s="9"/>
      <c r="U1414" s="9"/>
      <c r="V1414" s="9"/>
      <c r="AO1414"/>
      <c r="AP1414"/>
      <c r="AQ1414"/>
      <c r="AR1414"/>
      <c r="AS1414"/>
      <c r="AT1414"/>
      <c r="AU1414"/>
      <c r="AV1414"/>
      <c r="AW1414"/>
      <c r="AX1414"/>
      <c r="AY1414"/>
      <c r="AZ1414"/>
      <c r="BA1414"/>
      <c r="BB1414"/>
      <c r="BC1414"/>
      <c r="BD1414"/>
      <c r="BE1414"/>
      <c r="BF1414"/>
      <c r="BG1414"/>
      <c r="BH1414"/>
      <c r="BI1414"/>
      <c r="BJ1414"/>
      <c r="BK1414"/>
      <c r="BL1414"/>
      <c r="BM1414"/>
      <c r="BN1414"/>
      <c r="BO1414"/>
    </row>
    <row r="1415" spans="3:67" s="1" customFormat="1" hidden="1">
      <c r="C1415" s="14"/>
      <c r="F1415" s="17"/>
      <c r="G1415" s="18"/>
      <c r="T1415" s="9"/>
      <c r="U1415" s="9"/>
      <c r="V1415" s="9"/>
      <c r="AO1415"/>
      <c r="AP1415"/>
      <c r="AQ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/>
      <c r="BE1415"/>
      <c r="BF1415"/>
      <c r="BG1415"/>
      <c r="BH1415"/>
      <c r="BI1415"/>
      <c r="BJ1415"/>
      <c r="BK1415"/>
      <c r="BL1415"/>
      <c r="BM1415"/>
      <c r="BN1415"/>
      <c r="BO1415"/>
    </row>
    <row r="1416" spans="3:67" s="1" customFormat="1" hidden="1">
      <c r="C1416" s="14"/>
      <c r="F1416" s="17"/>
      <c r="G1416" s="18"/>
      <c r="T1416" s="9"/>
      <c r="U1416" s="9"/>
      <c r="V1416" s="9"/>
      <c r="AO1416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</row>
    <row r="1417" spans="3:67" s="1" customFormat="1" hidden="1">
      <c r="C1417" s="14"/>
      <c r="F1417" s="17"/>
      <c r="G1417" s="18"/>
      <c r="T1417" s="9"/>
      <c r="U1417" s="9"/>
      <c r="V1417" s="9"/>
      <c r="AO1417"/>
      <c r="AP1417"/>
      <c r="AQ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/>
      <c r="BN1417"/>
      <c r="BO1417"/>
    </row>
    <row r="1418" spans="3:67" s="1" customFormat="1" hidden="1">
      <c r="C1418" s="14"/>
      <c r="F1418" s="17"/>
      <c r="G1418" s="18"/>
      <c r="T1418" s="9"/>
      <c r="U1418" s="9"/>
      <c r="V1418" s="9"/>
      <c r="AO1418"/>
      <c r="AP1418"/>
      <c r="AQ1418"/>
      <c r="AR1418"/>
      <c r="AS1418"/>
      <c r="AT1418"/>
      <c r="AU1418"/>
      <c r="AV1418"/>
      <c r="AW1418"/>
      <c r="AX1418"/>
      <c r="AY1418"/>
      <c r="AZ1418"/>
      <c r="BA1418"/>
      <c r="BB1418"/>
      <c r="BC1418"/>
      <c r="BD1418"/>
      <c r="BE1418"/>
      <c r="BF1418"/>
      <c r="BG1418"/>
      <c r="BH1418"/>
      <c r="BI1418"/>
      <c r="BJ1418"/>
      <c r="BK1418"/>
      <c r="BL1418"/>
      <c r="BM1418"/>
      <c r="BN1418"/>
      <c r="BO1418"/>
    </row>
    <row r="1419" spans="3:67" s="1" customFormat="1" hidden="1">
      <c r="C1419" s="14"/>
      <c r="F1419" s="17"/>
      <c r="G1419" s="18"/>
      <c r="T1419" s="9"/>
      <c r="U1419" s="9"/>
      <c r="V1419" s="9"/>
      <c r="AO1419"/>
      <c r="AP1419"/>
      <c r="AQ1419"/>
      <c r="AR1419"/>
      <c r="AS1419"/>
      <c r="AT1419"/>
      <c r="AU1419"/>
      <c r="AV1419"/>
      <c r="AW1419"/>
      <c r="AX1419"/>
      <c r="AY1419"/>
      <c r="AZ1419"/>
      <c r="BA1419"/>
      <c r="BB1419"/>
      <c r="BC1419"/>
      <c r="BD1419"/>
      <c r="BE1419"/>
      <c r="BF1419"/>
      <c r="BG1419"/>
      <c r="BH1419"/>
      <c r="BI1419"/>
      <c r="BJ1419"/>
      <c r="BK1419"/>
      <c r="BL1419"/>
      <c r="BM1419"/>
      <c r="BN1419"/>
      <c r="BO1419"/>
    </row>
    <row r="1420" spans="3:67" s="1" customFormat="1" hidden="1">
      <c r="C1420" s="14"/>
      <c r="F1420" s="17"/>
      <c r="G1420" s="18"/>
      <c r="T1420" s="9"/>
      <c r="U1420" s="9"/>
      <c r="V1420" s="9"/>
      <c r="AO1420"/>
      <c r="AP1420"/>
      <c r="AQ1420"/>
      <c r="AR1420"/>
      <c r="AS1420"/>
      <c r="AT1420"/>
      <c r="AU1420"/>
      <c r="AV1420"/>
      <c r="AW1420"/>
      <c r="AX1420"/>
      <c r="AY1420"/>
      <c r="AZ1420"/>
      <c r="BA1420"/>
      <c r="BB1420"/>
      <c r="BC1420"/>
      <c r="BD1420"/>
      <c r="BE1420"/>
      <c r="BF1420"/>
      <c r="BG1420"/>
      <c r="BH1420"/>
      <c r="BI1420"/>
      <c r="BJ1420"/>
      <c r="BK1420"/>
      <c r="BL1420"/>
      <c r="BM1420"/>
      <c r="BN1420"/>
      <c r="BO1420"/>
    </row>
    <row r="1421" spans="3:67" s="1" customFormat="1" hidden="1">
      <c r="C1421" s="14"/>
      <c r="F1421" s="17"/>
      <c r="G1421" s="18"/>
      <c r="T1421" s="9"/>
      <c r="U1421" s="9"/>
      <c r="V1421" s="9"/>
      <c r="AO1421"/>
      <c r="AP1421"/>
      <c r="AQ1421"/>
      <c r="AR1421"/>
      <c r="AS1421"/>
      <c r="AT1421"/>
      <c r="AU1421"/>
      <c r="AV1421"/>
      <c r="AW1421"/>
      <c r="AX1421"/>
      <c r="AY1421"/>
      <c r="AZ1421"/>
      <c r="BA1421"/>
      <c r="BB1421"/>
      <c r="BC1421"/>
      <c r="BD1421"/>
      <c r="BE1421"/>
      <c r="BF1421"/>
      <c r="BG1421"/>
      <c r="BH1421"/>
      <c r="BI1421"/>
      <c r="BJ1421"/>
      <c r="BK1421"/>
      <c r="BL1421"/>
      <c r="BM1421"/>
      <c r="BN1421"/>
      <c r="BO1421"/>
    </row>
    <row r="1422" spans="3:67" s="1" customFormat="1" hidden="1">
      <c r="C1422" s="14"/>
      <c r="F1422" s="17"/>
      <c r="G1422" s="18"/>
      <c r="T1422" s="9"/>
      <c r="U1422" s="9"/>
      <c r="V1422" s="9"/>
      <c r="AO1422"/>
      <c r="AP1422"/>
      <c r="AQ1422"/>
      <c r="AR1422"/>
      <c r="AS1422"/>
      <c r="AT1422"/>
      <c r="AU1422"/>
      <c r="AV1422"/>
      <c r="AW1422"/>
      <c r="AX1422"/>
      <c r="AY1422"/>
      <c r="AZ1422"/>
      <c r="BA1422"/>
      <c r="BB1422"/>
      <c r="BC1422"/>
      <c r="BD1422"/>
      <c r="BE1422"/>
      <c r="BF1422"/>
      <c r="BG1422"/>
      <c r="BH1422"/>
      <c r="BI1422"/>
      <c r="BJ1422"/>
      <c r="BK1422"/>
      <c r="BL1422"/>
      <c r="BM1422"/>
      <c r="BN1422"/>
      <c r="BO1422"/>
    </row>
    <row r="1423" spans="3:67" s="1" customFormat="1" hidden="1">
      <c r="C1423" s="14"/>
      <c r="F1423" s="17"/>
      <c r="G1423" s="18"/>
      <c r="T1423" s="9"/>
      <c r="U1423" s="9"/>
      <c r="V1423" s="9"/>
      <c r="AO1423"/>
      <c r="AP1423"/>
      <c r="AQ1423"/>
      <c r="AR1423"/>
      <c r="AS1423"/>
      <c r="AT1423"/>
      <c r="AU1423"/>
      <c r="AV1423"/>
      <c r="AW1423"/>
      <c r="AX1423"/>
      <c r="AY1423"/>
      <c r="AZ1423"/>
      <c r="BA1423"/>
      <c r="BB1423"/>
      <c r="BC1423"/>
      <c r="BD1423"/>
      <c r="BE1423"/>
      <c r="BF1423"/>
      <c r="BG1423"/>
      <c r="BH1423"/>
      <c r="BI1423"/>
      <c r="BJ1423"/>
      <c r="BK1423"/>
      <c r="BL1423"/>
      <c r="BM1423"/>
      <c r="BN1423"/>
      <c r="BO1423"/>
    </row>
    <row r="1424" spans="3:67" s="1" customFormat="1" hidden="1">
      <c r="C1424" s="14"/>
      <c r="F1424" s="17"/>
      <c r="G1424" s="18"/>
      <c r="T1424" s="9"/>
      <c r="U1424" s="9"/>
      <c r="V1424" s="9"/>
      <c r="AO1424"/>
      <c r="AP1424"/>
      <c r="AQ1424"/>
      <c r="AR1424"/>
      <c r="AS1424"/>
      <c r="AT1424"/>
      <c r="AU1424"/>
      <c r="AV1424"/>
      <c r="AW1424"/>
      <c r="AX1424"/>
      <c r="AY1424"/>
      <c r="AZ1424"/>
      <c r="BA1424"/>
      <c r="BB1424"/>
      <c r="BC1424"/>
      <c r="BD1424"/>
      <c r="BE1424"/>
      <c r="BF1424"/>
      <c r="BG1424"/>
      <c r="BH1424"/>
      <c r="BI1424"/>
      <c r="BJ1424"/>
      <c r="BK1424"/>
      <c r="BL1424"/>
      <c r="BM1424"/>
      <c r="BN1424"/>
      <c r="BO1424"/>
    </row>
    <row r="1425" spans="3:67" s="1" customFormat="1" hidden="1">
      <c r="C1425" s="14"/>
      <c r="F1425" s="17"/>
      <c r="G1425" s="18"/>
      <c r="T1425" s="9"/>
      <c r="U1425" s="9"/>
      <c r="V1425" s="9"/>
      <c r="AO1425"/>
      <c r="AP1425"/>
      <c r="AQ1425"/>
      <c r="AR1425"/>
      <c r="AS1425"/>
      <c r="AT1425"/>
      <c r="AU1425"/>
      <c r="AV1425"/>
      <c r="AW1425"/>
      <c r="AX1425"/>
      <c r="AY1425"/>
      <c r="AZ1425"/>
      <c r="BA1425"/>
      <c r="BB1425"/>
      <c r="BC1425"/>
      <c r="BD1425"/>
      <c r="BE1425"/>
      <c r="BF1425"/>
      <c r="BG1425"/>
      <c r="BH1425"/>
      <c r="BI1425"/>
      <c r="BJ1425"/>
      <c r="BK1425"/>
      <c r="BL1425"/>
      <c r="BM1425"/>
      <c r="BN1425"/>
      <c r="BO1425"/>
    </row>
    <row r="1426" spans="3:67" s="1" customFormat="1" hidden="1">
      <c r="C1426" s="14"/>
      <c r="F1426" s="17"/>
      <c r="G1426" s="18"/>
      <c r="T1426" s="9"/>
      <c r="U1426" s="9"/>
      <c r="V1426" s="9"/>
      <c r="AO1426"/>
      <c r="AP1426"/>
      <c r="AQ1426"/>
      <c r="AR1426"/>
      <c r="AS1426"/>
      <c r="AT1426"/>
      <c r="AU1426"/>
      <c r="AV1426"/>
      <c r="AW1426"/>
      <c r="AX1426"/>
      <c r="AY1426"/>
      <c r="AZ1426"/>
      <c r="BA1426"/>
      <c r="BB1426"/>
      <c r="BC1426"/>
      <c r="BD1426"/>
      <c r="BE1426"/>
      <c r="BF1426"/>
      <c r="BG1426"/>
      <c r="BH1426"/>
      <c r="BI1426"/>
      <c r="BJ1426"/>
      <c r="BK1426"/>
      <c r="BL1426"/>
      <c r="BM1426"/>
      <c r="BN1426"/>
      <c r="BO1426"/>
    </row>
    <row r="1427" spans="3:67" s="1" customFormat="1" hidden="1">
      <c r="C1427" s="14"/>
      <c r="F1427" s="17"/>
      <c r="G1427" s="18"/>
      <c r="T1427" s="9"/>
      <c r="U1427" s="9"/>
      <c r="V1427" s="9"/>
      <c r="AO1427"/>
      <c r="AP1427"/>
      <c r="AQ1427"/>
      <c r="AR1427"/>
      <c r="AS1427"/>
      <c r="AT1427"/>
      <c r="AU1427"/>
      <c r="AV1427"/>
      <c r="AW1427"/>
      <c r="AX1427"/>
      <c r="AY1427"/>
      <c r="AZ1427"/>
      <c r="BA1427"/>
      <c r="BB1427"/>
      <c r="BC1427"/>
      <c r="BD1427"/>
      <c r="BE1427"/>
      <c r="BF1427"/>
      <c r="BG1427"/>
      <c r="BH1427"/>
      <c r="BI1427"/>
      <c r="BJ1427"/>
      <c r="BK1427"/>
      <c r="BL1427"/>
      <c r="BM1427"/>
      <c r="BN1427"/>
      <c r="BO1427"/>
    </row>
    <row r="1428" spans="3:67" s="1" customFormat="1" hidden="1">
      <c r="C1428" s="14"/>
      <c r="F1428" s="17"/>
      <c r="G1428" s="18"/>
      <c r="T1428" s="9"/>
      <c r="U1428" s="9"/>
      <c r="V1428" s="9"/>
      <c r="AO1428"/>
      <c r="AP1428"/>
      <c r="AQ1428"/>
      <c r="AR1428"/>
      <c r="AS1428"/>
      <c r="AT1428"/>
      <c r="AU1428"/>
      <c r="AV1428"/>
      <c r="AW1428"/>
      <c r="AX1428"/>
      <c r="AY1428"/>
      <c r="AZ1428"/>
      <c r="BA1428"/>
      <c r="BB1428"/>
      <c r="BC1428"/>
      <c r="BD1428"/>
      <c r="BE1428"/>
      <c r="BF1428"/>
      <c r="BG1428"/>
      <c r="BH1428"/>
      <c r="BI1428"/>
      <c r="BJ1428"/>
      <c r="BK1428"/>
      <c r="BL1428"/>
      <c r="BM1428"/>
      <c r="BN1428"/>
      <c r="BO1428"/>
    </row>
    <row r="1429" spans="3:67" s="1" customFormat="1" hidden="1">
      <c r="C1429" s="14"/>
      <c r="F1429" s="17"/>
      <c r="G1429" s="18"/>
      <c r="T1429" s="9"/>
      <c r="U1429" s="9"/>
      <c r="V1429" s="9"/>
      <c r="AO1429"/>
      <c r="AP1429"/>
      <c r="AQ1429"/>
      <c r="AR1429"/>
      <c r="AS1429"/>
      <c r="AT1429"/>
      <c r="AU1429"/>
      <c r="AV1429"/>
      <c r="AW1429"/>
      <c r="AX1429"/>
      <c r="AY1429"/>
      <c r="AZ1429"/>
      <c r="BA1429"/>
      <c r="BB1429"/>
      <c r="BC1429"/>
      <c r="BD1429"/>
      <c r="BE1429"/>
      <c r="BF1429"/>
      <c r="BG1429"/>
      <c r="BH1429"/>
      <c r="BI1429"/>
      <c r="BJ1429"/>
      <c r="BK1429"/>
      <c r="BL1429"/>
      <c r="BM1429"/>
      <c r="BN1429"/>
      <c r="BO1429"/>
    </row>
    <row r="1430" spans="3:67" s="1" customFormat="1" hidden="1">
      <c r="C1430" s="14"/>
      <c r="F1430" s="17"/>
      <c r="G1430" s="18"/>
      <c r="T1430" s="9"/>
      <c r="U1430" s="9"/>
      <c r="V1430" s="9"/>
      <c r="AO1430"/>
      <c r="AP1430"/>
      <c r="AQ1430"/>
      <c r="AR1430"/>
      <c r="AS1430"/>
      <c r="AT1430"/>
      <c r="AU1430"/>
      <c r="AV1430"/>
      <c r="AW1430"/>
      <c r="AX1430"/>
      <c r="AY1430"/>
      <c r="AZ1430"/>
      <c r="BA1430"/>
      <c r="BB1430"/>
      <c r="BC1430"/>
      <c r="BD1430"/>
      <c r="BE1430"/>
      <c r="BF1430"/>
      <c r="BG1430"/>
      <c r="BH1430"/>
      <c r="BI1430"/>
      <c r="BJ1430"/>
      <c r="BK1430"/>
      <c r="BL1430"/>
      <c r="BM1430"/>
      <c r="BN1430"/>
      <c r="BO1430"/>
    </row>
    <row r="1431" spans="3:67" s="1" customFormat="1" hidden="1">
      <c r="C1431" s="14"/>
      <c r="F1431" s="17"/>
      <c r="G1431" s="18"/>
      <c r="T1431" s="9"/>
      <c r="U1431" s="9"/>
      <c r="V1431" s="9"/>
      <c r="AO1431"/>
      <c r="AP1431"/>
      <c r="AQ1431"/>
      <c r="AR1431"/>
      <c r="AS1431"/>
      <c r="AT1431"/>
      <c r="AU1431"/>
      <c r="AV1431"/>
      <c r="AW1431"/>
      <c r="AX1431"/>
      <c r="AY1431"/>
      <c r="AZ1431"/>
      <c r="BA1431"/>
      <c r="BB1431"/>
      <c r="BC1431"/>
      <c r="BD1431"/>
      <c r="BE1431"/>
      <c r="BF1431"/>
      <c r="BG1431"/>
      <c r="BH1431"/>
      <c r="BI1431"/>
      <c r="BJ1431"/>
      <c r="BK1431"/>
      <c r="BL1431"/>
      <c r="BM1431"/>
      <c r="BN1431"/>
      <c r="BO1431"/>
    </row>
    <row r="1432" spans="3:67" s="1" customFormat="1" hidden="1">
      <c r="C1432" s="14"/>
      <c r="F1432" s="17"/>
      <c r="G1432" s="18"/>
      <c r="T1432" s="9"/>
      <c r="U1432" s="9"/>
      <c r="V1432" s="9"/>
      <c r="AO1432"/>
      <c r="AP1432"/>
      <c r="AQ1432"/>
      <c r="AR1432"/>
      <c r="AS1432"/>
      <c r="AT1432"/>
      <c r="AU1432"/>
      <c r="AV1432"/>
      <c r="AW1432"/>
      <c r="AX1432"/>
      <c r="AY1432"/>
      <c r="AZ1432"/>
      <c r="BA1432"/>
      <c r="BB1432"/>
      <c r="BC1432"/>
      <c r="BD1432"/>
      <c r="BE1432"/>
      <c r="BF1432"/>
      <c r="BG1432"/>
      <c r="BH1432"/>
      <c r="BI1432"/>
      <c r="BJ1432"/>
      <c r="BK1432"/>
      <c r="BL1432"/>
      <c r="BM1432"/>
      <c r="BN1432"/>
      <c r="BO1432"/>
    </row>
    <row r="1433" spans="3:67" s="1" customFormat="1" hidden="1">
      <c r="C1433" s="14"/>
      <c r="F1433" s="17"/>
      <c r="G1433" s="18"/>
      <c r="T1433" s="9"/>
      <c r="U1433" s="9"/>
      <c r="V1433" s="9"/>
      <c r="AO1433"/>
      <c r="AP1433"/>
      <c r="AQ1433"/>
      <c r="AR1433"/>
      <c r="AS1433"/>
      <c r="AT1433"/>
      <c r="AU1433"/>
      <c r="AV1433"/>
      <c r="AW1433"/>
      <c r="AX1433"/>
      <c r="AY1433"/>
      <c r="AZ1433"/>
      <c r="BA1433"/>
      <c r="BB1433"/>
      <c r="BC1433"/>
      <c r="BD1433"/>
      <c r="BE1433"/>
      <c r="BF1433"/>
      <c r="BG1433"/>
      <c r="BH1433"/>
      <c r="BI1433"/>
      <c r="BJ1433"/>
      <c r="BK1433"/>
      <c r="BL1433"/>
      <c r="BM1433"/>
      <c r="BN1433"/>
      <c r="BO1433"/>
    </row>
    <row r="1434" spans="3:67" s="1" customFormat="1" hidden="1">
      <c r="C1434" s="14"/>
      <c r="F1434" s="17"/>
      <c r="G1434" s="18"/>
      <c r="T1434" s="9"/>
      <c r="U1434" s="9"/>
      <c r="V1434" s="9"/>
      <c r="AO1434"/>
      <c r="AP1434"/>
      <c r="AQ1434"/>
      <c r="AR1434"/>
      <c r="AS1434"/>
      <c r="AT1434"/>
      <c r="AU1434"/>
      <c r="AV1434"/>
      <c r="AW1434"/>
      <c r="AX1434"/>
      <c r="AY1434"/>
      <c r="AZ1434"/>
      <c r="BA1434"/>
      <c r="BB1434"/>
      <c r="BC1434"/>
      <c r="BD1434"/>
      <c r="BE1434"/>
      <c r="BF1434"/>
      <c r="BG1434"/>
      <c r="BH1434"/>
      <c r="BI1434"/>
      <c r="BJ1434"/>
      <c r="BK1434"/>
      <c r="BL1434"/>
      <c r="BM1434"/>
      <c r="BN1434"/>
      <c r="BO1434"/>
    </row>
    <row r="1435" spans="3:67" s="1" customFormat="1" hidden="1">
      <c r="C1435" s="14"/>
      <c r="F1435" s="17"/>
      <c r="G1435" s="18"/>
      <c r="T1435" s="9"/>
      <c r="U1435" s="9"/>
      <c r="V1435" s="9"/>
      <c r="AO1435"/>
      <c r="AP1435"/>
      <c r="AQ1435"/>
      <c r="AR1435"/>
      <c r="AS1435"/>
      <c r="AT1435"/>
      <c r="AU1435"/>
      <c r="AV1435"/>
      <c r="AW1435"/>
      <c r="AX1435"/>
      <c r="AY1435"/>
      <c r="AZ1435"/>
      <c r="BA1435"/>
      <c r="BB1435"/>
      <c r="BC1435"/>
      <c r="BD1435"/>
      <c r="BE1435"/>
      <c r="BF1435"/>
      <c r="BG1435"/>
      <c r="BH1435"/>
      <c r="BI1435"/>
      <c r="BJ1435"/>
      <c r="BK1435"/>
      <c r="BL1435"/>
      <c r="BM1435"/>
      <c r="BN1435"/>
      <c r="BO1435"/>
    </row>
    <row r="1436" spans="3:67" s="1" customFormat="1" hidden="1">
      <c r="C1436" s="14"/>
      <c r="F1436" s="17"/>
      <c r="G1436" s="18"/>
      <c r="T1436" s="9"/>
      <c r="U1436" s="9"/>
      <c r="V1436" s="9"/>
      <c r="AO1436"/>
      <c r="AP1436"/>
      <c r="AQ1436"/>
      <c r="AR1436"/>
      <c r="AS1436"/>
      <c r="AT1436"/>
      <c r="AU1436"/>
      <c r="AV1436"/>
      <c r="AW1436"/>
      <c r="AX1436"/>
      <c r="AY1436"/>
      <c r="AZ1436"/>
      <c r="BA1436"/>
      <c r="BB1436"/>
      <c r="BC1436"/>
      <c r="BD1436"/>
      <c r="BE1436"/>
      <c r="BF1436"/>
      <c r="BG1436"/>
      <c r="BH1436"/>
      <c r="BI1436"/>
      <c r="BJ1436"/>
      <c r="BK1436"/>
      <c r="BL1436"/>
      <c r="BM1436"/>
      <c r="BN1436"/>
      <c r="BO1436"/>
    </row>
    <row r="1437" spans="3:67" s="1" customFormat="1" hidden="1">
      <c r="C1437" s="14"/>
      <c r="F1437" s="17"/>
      <c r="G1437" s="18"/>
      <c r="T1437" s="9"/>
      <c r="U1437" s="9"/>
      <c r="V1437" s="9"/>
      <c r="AO1437"/>
      <c r="AP1437"/>
      <c r="AQ1437"/>
      <c r="AR1437"/>
      <c r="AS1437"/>
      <c r="AT1437"/>
      <c r="AU1437"/>
      <c r="AV1437"/>
      <c r="AW1437"/>
      <c r="AX1437"/>
      <c r="AY1437"/>
      <c r="AZ1437"/>
      <c r="BA1437"/>
      <c r="BB1437"/>
      <c r="BC1437"/>
      <c r="BD1437"/>
      <c r="BE1437"/>
      <c r="BF1437"/>
      <c r="BG1437"/>
      <c r="BH1437"/>
      <c r="BI1437"/>
      <c r="BJ1437"/>
      <c r="BK1437"/>
      <c r="BL1437"/>
      <c r="BM1437"/>
      <c r="BN1437"/>
      <c r="BO1437"/>
    </row>
    <row r="1438" spans="3:67" s="1" customFormat="1" hidden="1">
      <c r="C1438" s="14"/>
      <c r="F1438" s="17"/>
      <c r="G1438" s="18"/>
      <c r="T1438" s="9"/>
      <c r="U1438" s="9"/>
      <c r="V1438" s="9"/>
      <c r="AO1438"/>
      <c r="AP1438"/>
      <c r="AQ1438"/>
      <c r="AR1438"/>
      <c r="AS1438"/>
      <c r="AT1438"/>
      <c r="AU1438"/>
      <c r="AV1438"/>
      <c r="AW1438"/>
      <c r="AX1438"/>
      <c r="AY1438"/>
      <c r="AZ1438"/>
      <c r="BA1438"/>
      <c r="BB1438"/>
      <c r="BC1438"/>
      <c r="BD1438"/>
      <c r="BE1438"/>
      <c r="BF1438"/>
      <c r="BG1438"/>
      <c r="BH1438"/>
      <c r="BI1438"/>
      <c r="BJ1438"/>
      <c r="BK1438"/>
      <c r="BL1438"/>
      <c r="BM1438"/>
      <c r="BN1438"/>
      <c r="BO1438"/>
    </row>
    <row r="1439" spans="3:67" s="1" customFormat="1" hidden="1">
      <c r="C1439" s="14"/>
      <c r="F1439" s="17"/>
      <c r="G1439" s="18"/>
      <c r="T1439" s="9"/>
      <c r="U1439" s="9"/>
      <c r="V1439" s="9"/>
      <c r="AO1439"/>
      <c r="AP1439"/>
      <c r="AQ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/>
      <c r="BN1439"/>
      <c r="BO1439"/>
    </row>
    <row r="1440" spans="3:67" s="1" customFormat="1" hidden="1">
      <c r="C1440" s="14"/>
      <c r="F1440" s="17"/>
      <c r="G1440" s="18"/>
      <c r="T1440" s="9"/>
      <c r="U1440" s="9"/>
      <c r="V1440" s="9"/>
      <c r="AO1440"/>
      <c r="AP1440"/>
      <c r="AQ1440"/>
      <c r="AR1440"/>
      <c r="AS1440"/>
      <c r="AT1440"/>
      <c r="AU1440"/>
      <c r="AV1440"/>
      <c r="AW1440"/>
      <c r="AX1440"/>
      <c r="AY1440"/>
      <c r="AZ1440"/>
      <c r="BA1440"/>
      <c r="BB1440"/>
      <c r="BC1440"/>
      <c r="BD1440"/>
      <c r="BE1440"/>
      <c r="BF1440"/>
      <c r="BG1440"/>
      <c r="BH1440"/>
      <c r="BI1440"/>
      <c r="BJ1440"/>
      <c r="BK1440"/>
      <c r="BL1440"/>
      <c r="BM1440"/>
      <c r="BN1440"/>
      <c r="BO1440"/>
    </row>
    <row r="1441" spans="3:67" s="1" customFormat="1" hidden="1">
      <c r="C1441" s="14"/>
      <c r="F1441" s="17"/>
      <c r="G1441" s="18"/>
      <c r="T1441" s="9"/>
      <c r="U1441" s="9"/>
      <c r="V1441" s="9"/>
      <c r="AO1441"/>
      <c r="AP1441"/>
      <c r="AQ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</row>
    <row r="1442" spans="3:67" s="1" customFormat="1" hidden="1">
      <c r="C1442" s="14"/>
      <c r="F1442" s="17"/>
      <c r="G1442" s="18"/>
      <c r="T1442" s="9"/>
      <c r="U1442" s="9"/>
      <c r="V1442" s="9"/>
      <c r="AO1442"/>
      <c r="AP1442"/>
      <c r="AQ1442"/>
      <c r="AR1442"/>
      <c r="AS1442"/>
      <c r="AT1442"/>
      <c r="AU1442"/>
      <c r="AV1442"/>
      <c r="AW1442"/>
      <c r="AX1442"/>
      <c r="AY1442"/>
      <c r="AZ1442"/>
      <c r="BA1442"/>
      <c r="BB1442"/>
      <c r="BC1442"/>
      <c r="BD1442"/>
      <c r="BE1442"/>
      <c r="BF1442"/>
      <c r="BG1442"/>
      <c r="BH1442"/>
      <c r="BI1442"/>
      <c r="BJ1442"/>
      <c r="BK1442"/>
      <c r="BL1442"/>
      <c r="BM1442"/>
      <c r="BN1442"/>
      <c r="BO1442"/>
    </row>
    <row r="1443" spans="3:67" s="1" customFormat="1" hidden="1">
      <c r="C1443" s="14"/>
      <c r="F1443" s="17"/>
      <c r="G1443" s="18"/>
      <c r="T1443" s="9"/>
      <c r="U1443" s="9"/>
      <c r="V1443" s="9"/>
      <c r="AO1443"/>
      <c r="AP1443"/>
      <c r="AQ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</row>
    <row r="1444" spans="3:67" s="1" customFormat="1" hidden="1">
      <c r="C1444" s="14"/>
      <c r="F1444" s="17"/>
      <c r="G1444" s="18"/>
      <c r="T1444" s="9"/>
      <c r="U1444" s="9"/>
      <c r="V1444" s="9"/>
      <c r="AO1444"/>
      <c r="AP1444"/>
      <c r="AQ1444"/>
      <c r="AR1444"/>
      <c r="AS1444"/>
      <c r="AT1444"/>
      <c r="AU1444"/>
      <c r="AV1444"/>
      <c r="AW1444"/>
      <c r="AX1444"/>
      <c r="AY1444"/>
      <c r="AZ1444"/>
      <c r="BA1444"/>
      <c r="BB1444"/>
      <c r="BC1444"/>
      <c r="BD1444"/>
      <c r="BE1444"/>
      <c r="BF1444"/>
      <c r="BG1444"/>
      <c r="BH1444"/>
      <c r="BI1444"/>
      <c r="BJ1444"/>
      <c r="BK1444"/>
      <c r="BL1444"/>
      <c r="BM1444"/>
      <c r="BN1444"/>
      <c r="BO1444"/>
    </row>
    <row r="1445" spans="3:67" s="1" customFormat="1" hidden="1">
      <c r="C1445" s="14"/>
      <c r="F1445" s="17"/>
      <c r="G1445" s="18"/>
      <c r="T1445" s="9"/>
      <c r="U1445" s="9"/>
      <c r="V1445" s="9"/>
      <c r="AO1445"/>
      <c r="AP1445"/>
      <c r="AQ1445"/>
      <c r="AR1445"/>
      <c r="AS1445"/>
      <c r="AT1445"/>
      <c r="AU1445"/>
      <c r="AV1445"/>
      <c r="AW1445"/>
      <c r="AX1445"/>
      <c r="AY1445"/>
      <c r="AZ1445"/>
      <c r="BA1445"/>
      <c r="BB1445"/>
      <c r="BC1445"/>
      <c r="BD1445"/>
      <c r="BE1445"/>
      <c r="BF1445"/>
      <c r="BG1445"/>
      <c r="BH1445"/>
      <c r="BI1445"/>
      <c r="BJ1445"/>
      <c r="BK1445"/>
      <c r="BL1445"/>
      <c r="BM1445"/>
      <c r="BN1445"/>
      <c r="BO1445"/>
    </row>
    <row r="1446" spans="3:67" s="1" customFormat="1" hidden="1">
      <c r="C1446" s="14"/>
      <c r="F1446" s="17"/>
      <c r="G1446" s="18"/>
      <c r="T1446" s="9"/>
      <c r="U1446" s="9"/>
      <c r="V1446" s="9"/>
      <c r="AO1446"/>
      <c r="AP1446"/>
      <c r="AQ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</row>
    <row r="1447" spans="3:67" s="1" customFormat="1" hidden="1">
      <c r="C1447" s="14"/>
      <c r="F1447" s="17"/>
      <c r="G1447" s="18"/>
      <c r="T1447" s="9"/>
      <c r="U1447" s="9"/>
      <c r="V1447" s="9"/>
      <c r="AO1447"/>
      <c r="AP1447"/>
      <c r="AQ1447"/>
      <c r="AR1447"/>
      <c r="AS1447"/>
      <c r="AT1447"/>
      <c r="AU1447"/>
      <c r="AV1447"/>
      <c r="AW1447"/>
      <c r="AX1447"/>
      <c r="AY1447"/>
      <c r="AZ1447"/>
      <c r="BA1447"/>
      <c r="BB1447"/>
      <c r="BC1447"/>
      <c r="BD1447"/>
      <c r="BE1447"/>
      <c r="BF1447"/>
      <c r="BG1447"/>
      <c r="BH1447"/>
      <c r="BI1447"/>
      <c r="BJ1447"/>
      <c r="BK1447"/>
      <c r="BL1447"/>
      <c r="BM1447"/>
      <c r="BN1447"/>
      <c r="BO1447"/>
    </row>
    <row r="1448" spans="3:67" s="1" customFormat="1" hidden="1">
      <c r="C1448" s="14"/>
      <c r="F1448" s="17"/>
      <c r="G1448" s="18"/>
      <c r="T1448" s="9"/>
      <c r="U1448" s="9"/>
      <c r="V1448" s="9"/>
      <c r="AO1448"/>
      <c r="AP1448"/>
      <c r="AQ1448"/>
      <c r="AR1448"/>
      <c r="AS1448"/>
      <c r="AT1448"/>
      <c r="AU1448"/>
      <c r="AV1448"/>
      <c r="AW1448"/>
      <c r="AX1448"/>
      <c r="AY1448"/>
      <c r="AZ1448"/>
      <c r="BA1448"/>
      <c r="BB1448"/>
      <c r="BC1448"/>
      <c r="BD1448"/>
      <c r="BE1448"/>
      <c r="BF1448"/>
      <c r="BG1448"/>
      <c r="BH1448"/>
      <c r="BI1448"/>
      <c r="BJ1448"/>
      <c r="BK1448"/>
      <c r="BL1448"/>
      <c r="BM1448"/>
      <c r="BN1448"/>
      <c r="BO1448"/>
    </row>
    <row r="1449" spans="3:67" s="1" customFormat="1" hidden="1">
      <c r="C1449" s="14"/>
      <c r="F1449" s="17"/>
      <c r="G1449" s="18"/>
      <c r="T1449" s="9"/>
      <c r="U1449" s="9"/>
      <c r="V1449" s="9"/>
      <c r="AO1449"/>
      <c r="AP1449"/>
      <c r="AQ1449"/>
      <c r="AR1449"/>
      <c r="AS1449"/>
      <c r="AT1449"/>
      <c r="AU1449"/>
      <c r="AV1449"/>
      <c r="AW1449"/>
      <c r="AX1449"/>
      <c r="AY1449"/>
      <c r="AZ1449"/>
      <c r="BA1449"/>
      <c r="BB1449"/>
      <c r="BC1449"/>
      <c r="BD1449"/>
      <c r="BE1449"/>
      <c r="BF1449"/>
      <c r="BG1449"/>
      <c r="BH1449"/>
      <c r="BI1449"/>
      <c r="BJ1449"/>
      <c r="BK1449"/>
      <c r="BL1449"/>
      <c r="BM1449"/>
      <c r="BN1449"/>
      <c r="BO1449"/>
    </row>
    <row r="1450" spans="3:67" s="1" customFormat="1" hidden="1">
      <c r="C1450" s="14"/>
      <c r="F1450" s="17"/>
      <c r="G1450" s="18"/>
      <c r="T1450" s="9"/>
      <c r="U1450" s="9"/>
      <c r="V1450" s="9"/>
      <c r="AO1450"/>
      <c r="AP1450"/>
      <c r="AQ1450"/>
      <c r="AR1450"/>
      <c r="AS1450"/>
      <c r="AT1450"/>
      <c r="AU1450"/>
      <c r="AV1450"/>
      <c r="AW1450"/>
      <c r="AX1450"/>
      <c r="AY1450"/>
      <c r="AZ1450"/>
      <c r="BA1450"/>
      <c r="BB1450"/>
      <c r="BC1450"/>
      <c r="BD1450"/>
      <c r="BE1450"/>
      <c r="BF1450"/>
      <c r="BG1450"/>
      <c r="BH1450"/>
      <c r="BI1450"/>
      <c r="BJ1450"/>
      <c r="BK1450"/>
      <c r="BL1450"/>
      <c r="BM1450"/>
      <c r="BN1450"/>
      <c r="BO1450"/>
    </row>
    <row r="1451" spans="3:67" s="1" customFormat="1" hidden="1">
      <c r="C1451" s="14"/>
      <c r="F1451" s="17"/>
      <c r="G1451" s="18"/>
      <c r="T1451" s="9"/>
      <c r="U1451" s="9"/>
      <c r="V1451" s="9"/>
      <c r="AO1451"/>
      <c r="AP1451"/>
      <c r="AQ1451"/>
      <c r="AR1451"/>
      <c r="AS1451"/>
      <c r="AT1451"/>
      <c r="AU1451"/>
      <c r="AV1451"/>
      <c r="AW1451"/>
      <c r="AX1451"/>
      <c r="AY1451"/>
      <c r="AZ1451"/>
      <c r="BA1451"/>
      <c r="BB1451"/>
      <c r="BC1451"/>
      <c r="BD1451"/>
      <c r="BE1451"/>
      <c r="BF1451"/>
      <c r="BG1451"/>
      <c r="BH1451"/>
      <c r="BI1451"/>
      <c r="BJ1451"/>
      <c r="BK1451"/>
      <c r="BL1451"/>
      <c r="BM1451"/>
      <c r="BN1451"/>
      <c r="BO1451"/>
    </row>
    <row r="1452" spans="3:67" s="1" customFormat="1" hidden="1">
      <c r="C1452" s="14"/>
      <c r="F1452" s="17"/>
      <c r="G1452" s="18"/>
      <c r="T1452" s="9"/>
      <c r="U1452" s="9"/>
      <c r="V1452" s="9"/>
      <c r="AO1452"/>
      <c r="AP1452"/>
      <c r="AQ1452"/>
      <c r="AR1452"/>
      <c r="AS1452"/>
      <c r="AT1452"/>
      <c r="AU1452"/>
      <c r="AV1452"/>
      <c r="AW1452"/>
      <c r="AX1452"/>
      <c r="AY1452"/>
      <c r="AZ1452"/>
      <c r="BA1452"/>
      <c r="BB1452"/>
      <c r="BC1452"/>
      <c r="BD1452"/>
      <c r="BE1452"/>
      <c r="BF1452"/>
      <c r="BG1452"/>
      <c r="BH1452"/>
      <c r="BI1452"/>
      <c r="BJ1452"/>
      <c r="BK1452"/>
      <c r="BL1452"/>
      <c r="BM1452"/>
      <c r="BN1452"/>
      <c r="BO1452"/>
    </row>
    <row r="1453" spans="3:67" s="1" customFormat="1" hidden="1">
      <c r="C1453" s="14"/>
      <c r="F1453" s="17"/>
      <c r="G1453" s="18"/>
      <c r="T1453" s="9"/>
      <c r="U1453" s="9"/>
      <c r="V1453" s="9"/>
      <c r="AO1453"/>
      <c r="AP1453"/>
      <c r="AQ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/>
      <c r="BN1453"/>
      <c r="BO1453"/>
    </row>
    <row r="1454" spans="3:67" s="1" customFormat="1" hidden="1">
      <c r="C1454" s="14"/>
      <c r="F1454" s="17"/>
      <c r="G1454" s="18"/>
      <c r="T1454" s="9"/>
      <c r="U1454" s="9"/>
      <c r="V1454" s="9"/>
      <c r="AO1454"/>
      <c r="AP1454"/>
      <c r="AQ1454"/>
      <c r="AR1454"/>
      <c r="AS1454"/>
      <c r="AT1454"/>
      <c r="AU1454"/>
      <c r="AV1454"/>
      <c r="AW1454"/>
      <c r="AX1454"/>
      <c r="AY1454"/>
      <c r="AZ1454"/>
      <c r="BA1454"/>
      <c r="BB1454"/>
      <c r="BC1454"/>
      <c r="BD1454"/>
      <c r="BE1454"/>
      <c r="BF1454"/>
      <c r="BG1454"/>
      <c r="BH1454"/>
      <c r="BI1454"/>
      <c r="BJ1454"/>
      <c r="BK1454"/>
      <c r="BL1454"/>
      <c r="BM1454"/>
      <c r="BN1454"/>
      <c r="BO1454"/>
    </row>
    <row r="1455" spans="3:67" s="1" customFormat="1" hidden="1">
      <c r="C1455" s="14"/>
      <c r="F1455" s="17"/>
      <c r="G1455" s="18"/>
      <c r="T1455" s="9"/>
      <c r="U1455" s="9"/>
      <c r="V1455" s="9"/>
      <c r="AO1455"/>
      <c r="AP1455"/>
      <c r="AQ1455"/>
      <c r="AR1455"/>
      <c r="AS1455"/>
      <c r="AT1455"/>
      <c r="AU1455"/>
      <c r="AV1455"/>
      <c r="AW1455"/>
      <c r="AX1455"/>
      <c r="AY1455"/>
      <c r="AZ1455"/>
      <c r="BA1455"/>
      <c r="BB1455"/>
      <c r="BC1455"/>
      <c r="BD1455"/>
      <c r="BE1455"/>
      <c r="BF1455"/>
      <c r="BG1455"/>
      <c r="BH1455"/>
      <c r="BI1455"/>
      <c r="BJ1455"/>
      <c r="BK1455"/>
      <c r="BL1455"/>
      <c r="BM1455"/>
      <c r="BN1455"/>
      <c r="BO1455"/>
    </row>
    <row r="1456" spans="3:67" s="1" customFormat="1" hidden="1">
      <c r="C1456" s="14"/>
      <c r="F1456" s="17"/>
      <c r="G1456" s="18"/>
      <c r="T1456" s="9"/>
      <c r="U1456" s="9"/>
      <c r="V1456" s="9"/>
      <c r="AO1456"/>
      <c r="AP1456"/>
      <c r="AQ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</row>
    <row r="1457" spans="3:67" s="1" customFormat="1" hidden="1">
      <c r="C1457" s="14"/>
      <c r="F1457" s="17"/>
      <c r="G1457" s="18"/>
      <c r="T1457" s="9"/>
      <c r="U1457" s="9"/>
      <c r="V1457" s="9"/>
      <c r="AO1457"/>
      <c r="AP1457"/>
      <c r="AQ1457"/>
      <c r="AR1457"/>
      <c r="AS1457"/>
      <c r="AT1457"/>
      <c r="AU1457"/>
      <c r="AV1457"/>
      <c r="AW1457"/>
      <c r="AX1457"/>
      <c r="AY1457"/>
      <c r="AZ1457"/>
      <c r="BA1457"/>
      <c r="BB1457"/>
      <c r="BC1457"/>
      <c r="BD1457"/>
      <c r="BE1457"/>
      <c r="BF1457"/>
      <c r="BG1457"/>
      <c r="BH1457"/>
      <c r="BI1457"/>
      <c r="BJ1457"/>
      <c r="BK1457"/>
      <c r="BL1457"/>
      <c r="BM1457"/>
      <c r="BN1457"/>
      <c r="BO1457"/>
    </row>
    <row r="1458" spans="3:67" s="1" customFormat="1" hidden="1">
      <c r="C1458" s="14"/>
      <c r="F1458" s="17"/>
      <c r="G1458" s="18"/>
      <c r="T1458" s="9"/>
      <c r="U1458" s="9"/>
      <c r="V1458" s="9"/>
      <c r="AO1458"/>
      <c r="AP1458"/>
      <c r="AQ1458"/>
      <c r="AR1458"/>
      <c r="AS1458"/>
      <c r="AT1458"/>
      <c r="AU1458"/>
      <c r="AV1458"/>
      <c r="AW1458"/>
      <c r="AX1458"/>
      <c r="AY1458"/>
      <c r="AZ1458"/>
      <c r="BA1458"/>
      <c r="BB1458"/>
      <c r="BC1458"/>
      <c r="BD1458"/>
      <c r="BE1458"/>
      <c r="BF1458"/>
      <c r="BG1458"/>
      <c r="BH1458"/>
      <c r="BI1458"/>
      <c r="BJ1458"/>
      <c r="BK1458"/>
      <c r="BL1458"/>
      <c r="BM1458"/>
      <c r="BN1458"/>
      <c r="BO1458"/>
    </row>
    <row r="1459" spans="3:67" s="1" customFormat="1" hidden="1">
      <c r="C1459" s="14"/>
      <c r="F1459" s="17"/>
      <c r="G1459" s="18"/>
      <c r="T1459" s="9"/>
      <c r="U1459" s="9"/>
      <c r="V1459" s="9"/>
      <c r="AO1459"/>
      <c r="AP1459"/>
      <c r="AQ1459"/>
      <c r="AR1459"/>
      <c r="AS1459"/>
      <c r="AT1459"/>
      <c r="AU1459"/>
      <c r="AV1459"/>
      <c r="AW1459"/>
      <c r="AX1459"/>
      <c r="AY1459"/>
      <c r="AZ1459"/>
      <c r="BA1459"/>
      <c r="BB1459"/>
      <c r="BC1459"/>
      <c r="BD1459"/>
      <c r="BE1459"/>
      <c r="BF1459"/>
      <c r="BG1459"/>
      <c r="BH1459"/>
      <c r="BI1459"/>
      <c r="BJ1459"/>
      <c r="BK1459"/>
      <c r="BL1459"/>
      <c r="BM1459"/>
      <c r="BN1459"/>
      <c r="BO1459"/>
    </row>
    <row r="1460" spans="3:67" s="1" customFormat="1" hidden="1">
      <c r="C1460" s="14"/>
      <c r="F1460" s="17"/>
      <c r="G1460" s="18"/>
      <c r="T1460" s="9"/>
      <c r="U1460" s="9"/>
      <c r="V1460" s="9"/>
      <c r="AO1460"/>
      <c r="AP1460"/>
      <c r="AQ1460"/>
      <c r="AR1460"/>
      <c r="AS1460"/>
      <c r="AT1460"/>
      <c r="AU1460"/>
      <c r="AV1460"/>
      <c r="AW1460"/>
      <c r="AX1460"/>
      <c r="AY1460"/>
      <c r="AZ1460"/>
      <c r="BA1460"/>
      <c r="BB1460"/>
      <c r="BC1460"/>
      <c r="BD1460"/>
      <c r="BE1460"/>
      <c r="BF1460"/>
      <c r="BG1460"/>
      <c r="BH1460"/>
      <c r="BI1460"/>
      <c r="BJ1460"/>
      <c r="BK1460"/>
      <c r="BL1460"/>
      <c r="BM1460"/>
      <c r="BN1460"/>
      <c r="BO1460"/>
    </row>
    <row r="1461" spans="3:67" s="1" customFormat="1" hidden="1">
      <c r="C1461" s="14"/>
      <c r="F1461" s="17"/>
      <c r="G1461" s="18"/>
      <c r="T1461" s="9"/>
      <c r="U1461" s="9"/>
      <c r="V1461" s="9"/>
      <c r="AO1461"/>
      <c r="AP1461"/>
      <c r="AQ1461"/>
      <c r="AR1461"/>
      <c r="AS1461"/>
      <c r="AT1461"/>
      <c r="AU1461"/>
      <c r="AV1461"/>
      <c r="AW1461"/>
      <c r="AX1461"/>
      <c r="AY1461"/>
      <c r="AZ1461"/>
      <c r="BA1461"/>
      <c r="BB1461"/>
      <c r="BC1461"/>
      <c r="BD1461"/>
      <c r="BE1461"/>
      <c r="BF1461"/>
      <c r="BG1461"/>
      <c r="BH1461"/>
      <c r="BI1461"/>
      <c r="BJ1461"/>
      <c r="BK1461"/>
      <c r="BL1461"/>
      <c r="BM1461"/>
      <c r="BN1461"/>
      <c r="BO1461"/>
    </row>
    <row r="1462" spans="3:67" s="1" customFormat="1" hidden="1">
      <c r="C1462" s="14"/>
      <c r="F1462" s="17"/>
      <c r="G1462" s="18"/>
      <c r="T1462" s="9"/>
      <c r="U1462" s="9"/>
      <c r="V1462" s="9"/>
      <c r="AO1462"/>
      <c r="AP1462"/>
      <c r="AQ1462"/>
      <c r="AR1462"/>
      <c r="AS1462"/>
      <c r="AT1462"/>
      <c r="AU1462"/>
      <c r="AV1462"/>
      <c r="AW1462"/>
      <c r="AX1462"/>
      <c r="AY1462"/>
      <c r="AZ1462"/>
      <c r="BA1462"/>
      <c r="BB1462"/>
      <c r="BC1462"/>
      <c r="BD1462"/>
      <c r="BE1462"/>
      <c r="BF1462"/>
      <c r="BG1462"/>
      <c r="BH1462"/>
      <c r="BI1462"/>
      <c r="BJ1462"/>
      <c r="BK1462"/>
      <c r="BL1462"/>
      <c r="BM1462"/>
      <c r="BN1462"/>
      <c r="BO1462"/>
    </row>
    <row r="1463" spans="3:67" s="1" customFormat="1" hidden="1">
      <c r="C1463" s="14"/>
      <c r="F1463" s="17"/>
      <c r="G1463" s="18"/>
      <c r="T1463" s="9"/>
      <c r="U1463" s="9"/>
      <c r="V1463" s="9"/>
      <c r="AO1463"/>
      <c r="AP1463"/>
      <c r="AQ1463"/>
      <c r="AR1463"/>
      <c r="AS1463"/>
      <c r="AT1463"/>
      <c r="AU1463"/>
      <c r="AV1463"/>
      <c r="AW1463"/>
      <c r="AX1463"/>
      <c r="AY1463"/>
      <c r="AZ1463"/>
      <c r="BA1463"/>
      <c r="BB1463"/>
      <c r="BC1463"/>
      <c r="BD1463"/>
      <c r="BE1463"/>
      <c r="BF1463"/>
      <c r="BG1463"/>
      <c r="BH1463"/>
      <c r="BI1463"/>
      <c r="BJ1463"/>
      <c r="BK1463"/>
      <c r="BL1463"/>
      <c r="BM1463"/>
      <c r="BN1463"/>
      <c r="BO1463"/>
    </row>
    <row r="1464" spans="3:67" s="1" customFormat="1" hidden="1">
      <c r="C1464" s="14"/>
      <c r="F1464" s="17"/>
      <c r="G1464" s="18"/>
      <c r="T1464" s="9"/>
      <c r="U1464" s="9"/>
      <c r="V1464" s="9"/>
      <c r="AO1464"/>
      <c r="AP1464"/>
      <c r="AQ1464"/>
      <c r="AR1464"/>
      <c r="AS1464"/>
      <c r="AT1464"/>
      <c r="AU1464"/>
      <c r="AV1464"/>
      <c r="AW1464"/>
      <c r="AX1464"/>
      <c r="AY1464"/>
      <c r="AZ1464"/>
      <c r="BA1464"/>
      <c r="BB1464"/>
      <c r="BC1464"/>
      <c r="BD1464"/>
      <c r="BE1464"/>
      <c r="BF1464"/>
      <c r="BG1464"/>
      <c r="BH1464"/>
      <c r="BI1464"/>
      <c r="BJ1464"/>
      <c r="BK1464"/>
      <c r="BL1464"/>
      <c r="BM1464"/>
      <c r="BN1464"/>
      <c r="BO1464"/>
    </row>
    <row r="1465" spans="3:67" s="1" customFormat="1" hidden="1">
      <c r="C1465" s="14"/>
      <c r="F1465" s="17"/>
      <c r="G1465" s="18"/>
      <c r="T1465" s="9"/>
      <c r="U1465" s="9"/>
      <c r="V1465" s="9"/>
      <c r="AO1465"/>
      <c r="AP1465"/>
      <c r="AQ1465"/>
      <c r="AR1465"/>
      <c r="AS1465"/>
      <c r="AT1465"/>
      <c r="AU1465"/>
      <c r="AV1465"/>
      <c r="AW1465"/>
      <c r="AX1465"/>
      <c r="AY1465"/>
      <c r="AZ1465"/>
      <c r="BA1465"/>
      <c r="BB1465"/>
      <c r="BC1465"/>
      <c r="BD1465"/>
      <c r="BE1465"/>
      <c r="BF1465"/>
      <c r="BG1465"/>
      <c r="BH1465"/>
      <c r="BI1465"/>
      <c r="BJ1465"/>
      <c r="BK1465"/>
      <c r="BL1465"/>
      <c r="BM1465"/>
      <c r="BN1465"/>
      <c r="BO1465"/>
    </row>
    <row r="1466" spans="3:67" s="1" customFormat="1" hidden="1">
      <c r="C1466" s="14"/>
      <c r="F1466" s="17"/>
      <c r="G1466" s="18"/>
      <c r="T1466" s="9"/>
      <c r="U1466" s="9"/>
      <c r="V1466" s="9"/>
      <c r="AO1466"/>
      <c r="AP1466"/>
      <c r="AQ1466"/>
      <c r="AR1466"/>
      <c r="AS1466"/>
      <c r="AT1466"/>
      <c r="AU1466"/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  <c r="BK1466"/>
      <c r="BL1466"/>
      <c r="BM1466"/>
      <c r="BN1466"/>
      <c r="BO1466"/>
    </row>
    <row r="1467" spans="3:67" s="1" customFormat="1" hidden="1">
      <c r="C1467" s="14"/>
      <c r="F1467" s="17"/>
      <c r="G1467" s="18"/>
      <c r="T1467" s="9"/>
      <c r="U1467" s="9"/>
      <c r="V1467" s="9"/>
      <c r="AO1467"/>
      <c r="AP1467"/>
      <c r="AQ1467"/>
      <c r="AR1467"/>
      <c r="AS1467"/>
      <c r="AT1467"/>
      <c r="AU1467"/>
      <c r="AV1467"/>
      <c r="AW1467"/>
      <c r="AX1467"/>
      <c r="AY1467"/>
      <c r="AZ1467"/>
      <c r="BA1467"/>
      <c r="BB1467"/>
      <c r="BC1467"/>
      <c r="BD1467"/>
      <c r="BE1467"/>
      <c r="BF1467"/>
      <c r="BG1467"/>
      <c r="BH1467"/>
      <c r="BI1467"/>
      <c r="BJ1467"/>
      <c r="BK1467"/>
      <c r="BL1467"/>
      <c r="BM1467"/>
      <c r="BN1467"/>
      <c r="BO1467"/>
    </row>
    <row r="1468" spans="3:67" s="1" customFormat="1" hidden="1">
      <c r="C1468" s="14"/>
      <c r="F1468" s="17"/>
      <c r="G1468" s="18"/>
      <c r="T1468" s="9"/>
      <c r="U1468" s="9"/>
      <c r="V1468" s="9"/>
      <c r="AO1468"/>
      <c r="AP1468"/>
      <c r="AQ1468"/>
      <c r="AR1468"/>
      <c r="AS1468"/>
      <c r="AT1468"/>
      <c r="AU1468"/>
      <c r="AV1468"/>
      <c r="AW1468"/>
      <c r="AX1468"/>
      <c r="AY1468"/>
      <c r="AZ1468"/>
      <c r="BA1468"/>
      <c r="BB1468"/>
      <c r="BC1468"/>
      <c r="BD1468"/>
      <c r="BE1468"/>
      <c r="BF1468"/>
      <c r="BG1468"/>
      <c r="BH1468"/>
      <c r="BI1468"/>
      <c r="BJ1468"/>
      <c r="BK1468"/>
      <c r="BL1468"/>
      <c r="BM1468"/>
      <c r="BN1468"/>
      <c r="BO1468"/>
    </row>
    <row r="1469" spans="3:67" s="1" customFormat="1" hidden="1">
      <c r="C1469" s="14"/>
      <c r="F1469" s="17"/>
      <c r="G1469" s="18"/>
      <c r="T1469" s="9"/>
      <c r="U1469" s="9"/>
      <c r="V1469" s="9"/>
      <c r="AO1469"/>
      <c r="AP1469"/>
      <c r="AQ1469"/>
      <c r="AR1469"/>
      <c r="AS1469"/>
      <c r="AT1469"/>
      <c r="AU1469"/>
      <c r="AV1469"/>
      <c r="AW1469"/>
      <c r="AX1469"/>
      <c r="AY1469"/>
      <c r="AZ1469"/>
      <c r="BA1469"/>
      <c r="BB1469"/>
      <c r="BC1469"/>
      <c r="BD1469"/>
      <c r="BE1469"/>
      <c r="BF1469"/>
      <c r="BG1469"/>
      <c r="BH1469"/>
      <c r="BI1469"/>
      <c r="BJ1469"/>
      <c r="BK1469"/>
      <c r="BL1469"/>
      <c r="BM1469"/>
      <c r="BN1469"/>
      <c r="BO1469"/>
    </row>
    <row r="1470" spans="3:67" s="1" customFormat="1" hidden="1">
      <c r="C1470" s="14"/>
      <c r="F1470" s="17"/>
      <c r="G1470" s="18"/>
      <c r="T1470" s="9"/>
      <c r="U1470" s="9"/>
      <c r="V1470" s="9"/>
      <c r="AO1470"/>
      <c r="AP1470"/>
      <c r="AQ1470"/>
      <c r="AR1470"/>
      <c r="AS1470"/>
      <c r="AT1470"/>
      <c r="AU1470"/>
      <c r="AV1470"/>
      <c r="AW1470"/>
      <c r="AX1470"/>
      <c r="AY1470"/>
      <c r="AZ1470"/>
      <c r="BA1470"/>
      <c r="BB1470"/>
      <c r="BC1470"/>
      <c r="BD1470"/>
      <c r="BE1470"/>
      <c r="BF1470"/>
      <c r="BG1470"/>
      <c r="BH1470"/>
      <c r="BI1470"/>
      <c r="BJ1470"/>
      <c r="BK1470"/>
      <c r="BL1470"/>
      <c r="BM1470"/>
      <c r="BN1470"/>
      <c r="BO1470"/>
    </row>
    <row r="1471" spans="3:67" s="1" customFormat="1" hidden="1">
      <c r="C1471" s="14"/>
      <c r="F1471" s="17"/>
      <c r="G1471" s="18"/>
      <c r="T1471" s="9"/>
      <c r="U1471" s="9"/>
      <c r="V1471" s="9"/>
      <c r="AO1471"/>
      <c r="AP1471"/>
      <c r="AQ1471"/>
      <c r="AR1471"/>
      <c r="AS1471"/>
      <c r="AT1471"/>
      <c r="AU1471"/>
      <c r="AV1471"/>
      <c r="AW1471"/>
      <c r="AX1471"/>
      <c r="AY1471"/>
      <c r="AZ1471"/>
      <c r="BA1471"/>
      <c r="BB1471"/>
      <c r="BC1471"/>
      <c r="BD1471"/>
      <c r="BE1471"/>
      <c r="BF1471"/>
      <c r="BG1471"/>
      <c r="BH1471"/>
      <c r="BI1471"/>
      <c r="BJ1471"/>
      <c r="BK1471"/>
      <c r="BL1471"/>
      <c r="BM1471"/>
      <c r="BN1471"/>
      <c r="BO1471"/>
    </row>
    <row r="1472" spans="3:67" s="1" customFormat="1" hidden="1">
      <c r="C1472" s="14"/>
      <c r="F1472" s="17"/>
      <c r="G1472" s="18"/>
      <c r="T1472" s="9"/>
      <c r="U1472" s="9"/>
      <c r="V1472" s="9"/>
      <c r="AO1472"/>
      <c r="AP1472"/>
      <c r="AQ1472"/>
      <c r="AR1472"/>
      <c r="AS1472"/>
      <c r="AT1472"/>
      <c r="AU1472"/>
      <c r="AV1472"/>
      <c r="AW1472"/>
      <c r="AX1472"/>
      <c r="AY1472"/>
      <c r="AZ1472"/>
      <c r="BA1472"/>
      <c r="BB1472"/>
      <c r="BC1472"/>
      <c r="BD1472"/>
      <c r="BE1472"/>
      <c r="BF1472"/>
      <c r="BG1472"/>
      <c r="BH1472"/>
      <c r="BI1472"/>
      <c r="BJ1472"/>
      <c r="BK1472"/>
      <c r="BL1472"/>
      <c r="BM1472"/>
      <c r="BN1472"/>
      <c r="BO1472"/>
    </row>
    <row r="1473" spans="3:67" s="1" customFormat="1" hidden="1">
      <c r="C1473" s="14"/>
      <c r="F1473" s="17"/>
      <c r="G1473" s="18"/>
      <c r="T1473" s="9"/>
      <c r="U1473" s="9"/>
      <c r="V1473" s="9"/>
      <c r="AO1473"/>
      <c r="AP1473"/>
      <c r="AQ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</row>
    <row r="1474" spans="3:67" s="1" customFormat="1" hidden="1">
      <c r="C1474" s="14"/>
      <c r="F1474" s="17"/>
      <c r="G1474" s="18"/>
      <c r="T1474" s="9"/>
      <c r="U1474" s="9"/>
      <c r="V1474" s="9"/>
      <c r="AO1474"/>
      <c r="AP1474"/>
      <c r="AQ1474"/>
      <c r="AR1474"/>
      <c r="AS1474"/>
      <c r="AT1474"/>
      <c r="AU1474"/>
      <c r="AV1474"/>
      <c r="AW1474"/>
      <c r="AX1474"/>
      <c r="AY1474"/>
      <c r="AZ1474"/>
      <c r="BA1474"/>
      <c r="BB1474"/>
      <c r="BC1474"/>
      <c r="BD1474"/>
      <c r="BE1474"/>
      <c r="BF1474"/>
      <c r="BG1474"/>
      <c r="BH1474"/>
      <c r="BI1474"/>
      <c r="BJ1474"/>
      <c r="BK1474"/>
      <c r="BL1474"/>
      <c r="BM1474"/>
      <c r="BN1474"/>
      <c r="BO1474"/>
    </row>
    <row r="1475" spans="3:67" s="1" customFormat="1" hidden="1">
      <c r="C1475" s="14"/>
      <c r="F1475" s="17"/>
      <c r="G1475" s="18"/>
      <c r="T1475" s="9"/>
      <c r="U1475" s="9"/>
      <c r="V1475" s="9"/>
      <c r="AO1475"/>
      <c r="AP1475"/>
      <c r="AQ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</row>
    <row r="1476" spans="3:67" s="1" customFormat="1" hidden="1">
      <c r="C1476" s="14"/>
      <c r="F1476" s="17"/>
      <c r="G1476" s="18"/>
      <c r="T1476" s="9"/>
      <c r="U1476" s="9"/>
      <c r="V1476" s="9"/>
      <c r="AO1476"/>
      <c r="AP1476"/>
      <c r="AQ1476"/>
      <c r="AR1476"/>
      <c r="AS1476"/>
      <c r="AT1476"/>
      <c r="AU1476"/>
      <c r="AV1476"/>
      <c r="AW1476"/>
      <c r="AX1476"/>
      <c r="AY1476"/>
      <c r="AZ1476"/>
      <c r="BA1476"/>
      <c r="BB1476"/>
      <c r="BC1476"/>
      <c r="BD1476"/>
      <c r="BE1476"/>
      <c r="BF1476"/>
      <c r="BG1476"/>
      <c r="BH1476"/>
      <c r="BI1476"/>
      <c r="BJ1476"/>
      <c r="BK1476"/>
      <c r="BL1476"/>
      <c r="BM1476"/>
      <c r="BN1476"/>
      <c r="BO1476"/>
    </row>
    <row r="1477" spans="3:67" s="1" customFormat="1" hidden="1">
      <c r="C1477" s="14"/>
      <c r="F1477" s="17"/>
      <c r="G1477" s="18"/>
      <c r="T1477" s="9"/>
      <c r="U1477" s="9"/>
      <c r="V1477" s="9"/>
      <c r="AO1477"/>
      <c r="AP1477"/>
      <c r="AQ1477"/>
      <c r="AR1477"/>
      <c r="AS1477"/>
      <c r="AT1477"/>
      <c r="AU1477"/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/>
      <c r="BN1477"/>
      <c r="BO1477"/>
    </row>
    <row r="1478" spans="3:67" s="1" customFormat="1" hidden="1">
      <c r="C1478" s="14"/>
      <c r="F1478" s="17"/>
      <c r="G1478" s="18"/>
      <c r="T1478" s="9"/>
      <c r="U1478" s="9"/>
      <c r="V1478" s="9"/>
      <c r="AO1478"/>
      <c r="AP1478"/>
      <c r="AQ1478"/>
      <c r="AR1478"/>
      <c r="AS1478"/>
      <c r="AT1478"/>
      <c r="AU1478"/>
      <c r="AV1478"/>
      <c r="AW1478"/>
      <c r="AX1478"/>
      <c r="AY1478"/>
      <c r="AZ1478"/>
      <c r="BA1478"/>
      <c r="BB1478"/>
      <c r="BC1478"/>
      <c r="BD1478"/>
      <c r="BE1478"/>
      <c r="BF1478"/>
      <c r="BG1478"/>
      <c r="BH1478"/>
      <c r="BI1478"/>
      <c r="BJ1478"/>
      <c r="BK1478"/>
      <c r="BL1478"/>
      <c r="BM1478"/>
      <c r="BN1478"/>
      <c r="BO1478"/>
    </row>
    <row r="1479" spans="3:67" s="1" customFormat="1" hidden="1">
      <c r="C1479" s="14"/>
      <c r="F1479" s="17"/>
      <c r="G1479" s="18"/>
      <c r="T1479" s="9"/>
      <c r="U1479" s="9"/>
      <c r="V1479" s="9"/>
      <c r="AO1479"/>
      <c r="AP1479"/>
      <c r="AQ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</row>
    <row r="1480" spans="3:67" s="1" customFormat="1" hidden="1">
      <c r="C1480" s="14"/>
      <c r="F1480" s="17"/>
      <c r="G1480" s="18"/>
      <c r="T1480" s="9"/>
      <c r="U1480" s="9"/>
      <c r="V1480" s="9"/>
      <c r="AO1480"/>
      <c r="AP1480"/>
      <c r="AQ1480"/>
      <c r="AR1480"/>
      <c r="AS1480"/>
      <c r="AT1480"/>
      <c r="AU1480"/>
      <c r="AV1480"/>
      <c r="AW1480"/>
      <c r="AX1480"/>
      <c r="AY1480"/>
      <c r="AZ1480"/>
      <c r="BA1480"/>
      <c r="BB1480"/>
      <c r="BC1480"/>
      <c r="BD1480"/>
      <c r="BE1480"/>
      <c r="BF1480"/>
      <c r="BG1480"/>
      <c r="BH1480"/>
      <c r="BI1480"/>
      <c r="BJ1480"/>
      <c r="BK1480"/>
      <c r="BL1480"/>
      <c r="BM1480"/>
      <c r="BN1480"/>
      <c r="BO1480"/>
    </row>
    <row r="1481" spans="3:67" s="1" customFormat="1" hidden="1">
      <c r="C1481" s="14"/>
      <c r="F1481" s="17"/>
      <c r="G1481" s="18"/>
      <c r="T1481" s="9"/>
      <c r="U1481" s="9"/>
      <c r="V1481" s="9"/>
      <c r="AO1481"/>
      <c r="AP1481"/>
      <c r="AQ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</row>
    <row r="1482" spans="3:67" s="1" customFormat="1" hidden="1">
      <c r="C1482" s="14"/>
      <c r="F1482" s="17"/>
      <c r="G1482" s="18"/>
      <c r="T1482" s="9"/>
      <c r="U1482" s="9"/>
      <c r="V1482" s="9"/>
      <c r="AO1482"/>
      <c r="AP1482"/>
      <c r="AQ1482"/>
      <c r="AR1482"/>
      <c r="AS1482"/>
      <c r="AT1482"/>
      <c r="AU1482"/>
      <c r="AV1482"/>
      <c r="AW1482"/>
      <c r="AX1482"/>
      <c r="AY1482"/>
      <c r="AZ1482"/>
      <c r="BA1482"/>
      <c r="BB1482"/>
      <c r="BC1482"/>
      <c r="BD1482"/>
      <c r="BE1482"/>
      <c r="BF1482"/>
      <c r="BG1482"/>
      <c r="BH1482"/>
      <c r="BI1482"/>
      <c r="BJ1482"/>
      <c r="BK1482"/>
      <c r="BL1482"/>
      <c r="BM1482"/>
      <c r="BN1482"/>
      <c r="BO1482"/>
    </row>
    <row r="1483" spans="3:67" s="1" customFormat="1" hidden="1">
      <c r="C1483" s="14"/>
      <c r="F1483" s="17"/>
      <c r="G1483" s="18"/>
      <c r="T1483" s="9"/>
      <c r="U1483" s="9"/>
      <c r="V1483" s="9"/>
      <c r="AO1483"/>
      <c r="AP1483"/>
      <c r="AQ1483"/>
      <c r="AR1483"/>
      <c r="AS1483"/>
      <c r="AT1483"/>
      <c r="AU1483"/>
      <c r="AV1483"/>
      <c r="AW1483"/>
      <c r="AX1483"/>
      <c r="AY1483"/>
      <c r="AZ1483"/>
      <c r="BA1483"/>
      <c r="BB1483"/>
      <c r="BC1483"/>
      <c r="BD1483"/>
      <c r="BE1483"/>
      <c r="BF1483"/>
      <c r="BG1483"/>
      <c r="BH1483"/>
      <c r="BI1483"/>
      <c r="BJ1483"/>
      <c r="BK1483"/>
      <c r="BL1483"/>
      <c r="BM1483"/>
      <c r="BN1483"/>
      <c r="BO1483"/>
    </row>
    <row r="1484" spans="3:67" s="1" customFormat="1" hidden="1">
      <c r="C1484" s="14"/>
      <c r="F1484" s="17"/>
      <c r="G1484" s="18"/>
      <c r="T1484" s="9"/>
      <c r="U1484" s="9"/>
      <c r="V1484" s="9"/>
      <c r="AO1484"/>
      <c r="AP1484"/>
      <c r="AQ1484"/>
      <c r="AR1484"/>
      <c r="AS1484"/>
      <c r="AT1484"/>
      <c r="AU1484"/>
      <c r="AV1484"/>
      <c r="AW1484"/>
      <c r="AX1484"/>
      <c r="AY1484"/>
      <c r="AZ1484"/>
      <c r="BA1484"/>
      <c r="BB1484"/>
      <c r="BC1484"/>
      <c r="BD1484"/>
      <c r="BE1484"/>
      <c r="BF1484"/>
      <c r="BG1484"/>
      <c r="BH1484"/>
      <c r="BI1484"/>
      <c r="BJ1484"/>
      <c r="BK1484"/>
      <c r="BL1484"/>
      <c r="BM1484"/>
      <c r="BN1484"/>
      <c r="BO1484"/>
    </row>
    <row r="1485" spans="3:67" s="1" customFormat="1" hidden="1">
      <c r="C1485" s="14"/>
      <c r="F1485" s="17"/>
      <c r="G1485" s="18"/>
      <c r="T1485" s="9"/>
      <c r="U1485" s="9"/>
      <c r="V1485" s="9"/>
      <c r="AO1485"/>
      <c r="AP1485"/>
      <c r="AQ1485"/>
      <c r="AR1485"/>
      <c r="AS1485"/>
      <c r="AT1485"/>
      <c r="AU1485"/>
      <c r="AV1485"/>
      <c r="AW1485"/>
      <c r="AX1485"/>
      <c r="AY1485"/>
      <c r="AZ1485"/>
      <c r="BA1485"/>
      <c r="BB1485"/>
      <c r="BC1485"/>
      <c r="BD1485"/>
      <c r="BE1485"/>
      <c r="BF1485"/>
      <c r="BG1485"/>
      <c r="BH1485"/>
      <c r="BI1485"/>
      <c r="BJ1485"/>
      <c r="BK1485"/>
      <c r="BL1485"/>
      <c r="BM1485"/>
      <c r="BN1485"/>
      <c r="BO1485"/>
    </row>
    <row r="1486" spans="3:67" s="1" customFormat="1" hidden="1">
      <c r="C1486" s="14"/>
      <c r="F1486" s="17"/>
      <c r="G1486" s="18"/>
      <c r="T1486" s="9"/>
      <c r="U1486" s="9"/>
      <c r="V1486" s="9"/>
      <c r="AO1486"/>
      <c r="AP1486"/>
      <c r="AQ1486"/>
      <c r="AR1486"/>
      <c r="AS1486"/>
      <c r="AT1486"/>
      <c r="AU1486"/>
      <c r="AV1486"/>
      <c r="AW1486"/>
      <c r="AX1486"/>
      <c r="AY1486"/>
      <c r="AZ1486"/>
      <c r="BA1486"/>
      <c r="BB1486"/>
      <c r="BC1486"/>
      <c r="BD1486"/>
      <c r="BE1486"/>
      <c r="BF1486"/>
      <c r="BG1486"/>
      <c r="BH1486"/>
      <c r="BI1486"/>
      <c r="BJ1486"/>
      <c r="BK1486"/>
      <c r="BL1486"/>
      <c r="BM1486"/>
      <c r="BN1486"/>
      <c r="BO1486"/>
    </row>
    <row r="1487" spans="3:67" s="1" customFormat="1" hidden="1">
      <c r="C1487" s="14"/>
      <c r="F1487" s="17"/>
      <c r="G1487" s="18"/>
      <c r="T1487" s="9"/>
      <c r="U1487" s="9"/>
      <c r="V1487" s="9"/>
      <c r="AO1487"/>
      <c r="AP1487"/>
      <c r="AQ1487"/>
      <c r="AR1487"/>
      <c r="AS1487"/>
      <c r="AT1487"/>
      <c r="AU1487"/>
      <c r="AV1487"/>
      <c r="AW1487"/>
      <c r="AX1487"/>
      <c r="AY1487"/>
      <c r="AZ1487"/>
      <c r="BA1487"/>
      <c r="BB1487"/>
      <c r="BC1487"/>
      <c r="BD1487"/>
      <c r="BE1487"/>
      <c r="BF1487"/>
      <c r="BG1487"/>
      <c r="BH1487"/>
      <c r="BI1487"/>
      <c r="BJ1487"/>
      <c r="BK1487"/>
      <c r="BL1487"/>
      <c r="BM1487"/>
      <c r="BN1487"/>
      <c r="BO1487"/>
    </row>
    <row r="1488" spans="3:67" s="1" customFormat="1" hidden="1">
      <c r="C1488" s="14"/>
      <c r="F1488" s="17"/>
      <c r="G1488" s="18"/>
      <c r="T1488" s="9"/>
      <c r="U1488" s="9"/>
      <c r="V1488" s="9"/>
      <c r="AO1488"/>
      <c r="AP1488"/>
      <c r="AQ1488"/>
      <c r="AR1488"/>
      <c r="AS1488"/>
      <c r="AT1488"/>
      <c r="AU1488"/>
      <c r="AV1488"/>
      <c r="AW1488"/>
      <c r="AX1488"/>
      <c r="AY1488"/>
      <c r="AZ1488"/>
      <c r="BA1488"/>
      <c r="BB1488"/>
      <c r="BC1488"/>
      <c r="BD1488"/>
      <c r="BE1488"/>
      <c r="BF1488"/>
      <c r="BG1488"/>
      <c r="BH1488"/>
      <c r="BI1488"/>
      <c r="BJ1488"/>
      <c r="BK1488"/>
      <c r="BL1488"/>
      <c r="BM1488"/>
      <c r="BN1488"/>
      <c r="BO1488"/>
    </row>
    <row r="1489" spans="3:67" s="1" customFormat="1" hidden="1">
      <c r="C1489" s="14"/>
      <c r="F1489" s="17"/>
      <c r="G1489" s="18"/>
      <c r="T1489" s="9"/>
      <c r="U1489" s="9"/>
      <c r="V1489" s="9"/>
      <c r="AO1489"/>
      <c r="AP1489"/>
      <c r="AQ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/>
      <c r="BN1489"/>
      <c r="BO1489"/>
    </row>
    <row r="1490" spans="3:67" s="1" customFormat="1" hidden="1">
      <c r="C1490" s="14"/>
      <c r="F1490" s="17"/>
      <c r="G1490" s="18"/>
      <c r="T1490" s="9"/>
      <c r="U1490" s="9"/>
      <c r="V1490" s="9"/>
      <c r="AO1490"/>
      <c r="AP1490"/>
      <c r="AQ1490"/>
      <c r="AR1490"/>
      <c r="AS1490"/>
      <c r="AT1490"/>
      <c r="AU1490"/>
      <c r="AV1490"/>
      <c r="AW1490"/>
      <c r="AX1490"/>
      <c r="AY1490"/>
      <c r="AZ1490"/>
      <c r="BA1490"/>
      <c r="BB1490"/>
      <c r="BC1490"/>
      <c r="BD1490"/>
      <c r="BE1490"/>
      <c r="BF1490"/>
      <c r="BG1490"/>
      <c r="BH1490"/>
      <c r="BI1490"/>
      <c r="BJ1490"/>
      <c r="BK1490"/>
      <c r="BL1490"/>
      <c r="BM1490"/>
      <c r="BN1490"/>
      <c r="BO1490"/>
    </row>
    <row r="1491" spans="3:67" s="1" customFormat="1" hidden="1">
      <c r="C1491" s="14"/>
      <c r="F1491" s="17"/>
      <c r="G1491" s="18"/>
      <c r="T1491" s="9"/>
      <c r="U1491" s="9"/>
      <c r="V1491" s="9"/>
      <c r="AO1491"/>
      <c r="AP1491"/>
      <c r="AQ1491"/>
      <c r="AR1491"/>
      <c r="AS1491"/>
      <c r="AT1491"/>
      <c r="AU1491"/>
      <c r="AV1491"/>
      <c r="AW1491"/>
      <c r="AX1491"/>
      <c r="AY1491"/>
      <c r="AZ1491"/>
      <c r="BA1491"/>
      <c r="BB1491"/>
      <c r="BC1491"/>
      <c r="BD1491"/>
      <c r="BE1491"/>
      <c r="BF1491"/>
      <c r="BG1491"/>
      <c r="BH1491"/>
      <c r="BI1491"/>
      <c r="BJ1491"/>
      <c r="BK1491"/>
      <c r="BL1491"/>
      <c r="BM1491"/>
      <c r="BN1491"/>
      <c r="BO1491"/>
    </row>
    <row r="1492" spans="3:67" s="1" customFormat="1" hidden="1">
      <c r="C1492" s="14"/>
      <c r="F1492" s="17"/>
      <c r="G1492" s="18"/>
      <c r="T1492" s="9"/>
      <c r="U1492" s="9"/>
      <c r="V1492" s="9"/>
      <c r="AO1492"/>
      <c r="AP1492"/>
      <c r="AQ1492"/>
      <c r="AR1492"/>
      <c r="AS1492"/>
      <c r="AT1492"/>
      <c r="AU1492"/>
      <c r="AV1492"/>
      <c r="AW1492"/>
      <c r="AX1492"/>
      <c r="AY1492"/>
      <c r="AZ1492"/>
      <c r="BA1492"/>
      <c r="BB1492"/>
      <c r="BC1492"/>
      <c r="BD1492"/>
      <c r="BE1492"/>
      <c r="BF1492"/>
      <c r="BG1492"/>
      <c r="BH1492"/>
      <c r="BI1492"/>
      <c r="BJ1492"/>
      <c r="BK1492"/>
      <c r="BL1492"/>
      <c r="BM1492"/>
      <c r="BN1492"/>
      <c r="BO1492"/>
    </row>
    <row r="1493" spans="3:67" s="1" customFormat="1" hidden="1">
      <c r="C1493" s="14"/>
      <c r="F1493" s="17"/>
      <c r="G1493" s="18"/>
      <c r="T1493" s="9"/>
      <c r="U1493" s="9"/>
      <c r="V1493" s="9"/>
      <c r="AO1493"/>
      <c r="AP1493"/>
      <c r="AQ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/>
      <c r="BN1493"/>
      <c r="BO1493"/>
    </row>
    <row r="1494" spans="3:67" s="1" customFormat="1" hidden="1">
      <c r="C1494" s="14"/>
      <c r="F1494" s="17"/>
      <c r="G1494" s="18"/>
      <c r="T1494" s="9"/>
      <c r="U1494" s="9"/>
      <c r="V1494" s="9"/>
      <c r="AO1494"/>
      <c r="AP1494"/>
      <c r="AQ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/>
      <c r="BN1494"/>
      <c r="BO1494"/>
    </row>
    <row r="1495" spans="3:67" s="1" customFormat="1" hidden="1">
      <c r="C1495" s="14"/>
      <c r="F1495" s="17"/>
      <c r="G1495" s="18"/>
      <c r="T1495" s="9"/>
      <c r="U1495" s="9"/>
      <c r="V1495" s="9"/>
      <c r="AO1495"/>
      <c r="AP1495"/>
      <c r="AQ1495"/>
      <c r="AR1495"/>
      <c r="AS1495"/>
      <c r="AT1495"/>
      <c r="AU1495"/>
      <c r="AV1495"/>
      <c r="AW1495"/>
      <c r="AX1495"/>
      <c r="AY1495"/>
      <c r="AZ1495"/>
      <c r="BA1495"/>
      <c r="BB1495"/>
      <c r="BC1495"/>
      <c r="BD1495"/>
      <c r="BE1495"/>
      <c r="BF1495"/>
      <c r="BG1495"/>
      <c r="BH1495"/>
      <c r="BI1495"/>
      <c r="BJ1495"/>
      <c r="BK1495"/>
      <c r="BL1495"/>
      <c r="BM1495"/>
      <c r="BN1495"/>
      <c r="BO1495"/>
    </row>
    <row r="1496" spans="3:67" s="1" customFormat="1" hidden="1">
      <c r="C1496" s="14"/>
      <c r="F1496" s="17"/>
      <c r="G1496" s="18"/>
      <c r="T1496" s="9"/>
      <c r="U1496" s="9"/>
      <c r="V1496" s="9"/>
      <c r="AO1496"/>
      <c r="AP1496"/>
      <c r="AQ1496"/>
      <c r="AR1496"/>
      <c r="AS1496"/>
      <c r="AT1496"/>
      <c r="AU1496"/>
      <c r="AV1496"/>
      <c r="AW1496"/>
      <c r="AX1496"/>
      <c r="AY1496"/>
      <c r="AZ1496"/>
      <c r="BA1496"/>
      <c r="BB1496"/>
      <c r="BC1496"/>
      <c r="BD1496"/>
      <c r="BE1496"/>
      <c r="BF1496"/>
      <c r="BG1496"/>
      <c r="BH1496"/>
      <c r="BI1496"/>
      <c r="BJ1496"/>
      <c r="BK1496"/>
      <c r="BL1496"/>
      <c r="BM1496"/>
      <c r="BN1496"/>
      <c r="BO1496"/>
    </row>
    <row r="1497" spans="3:67" s="1" customFormat="1" hidden="1">
      <c r="C1497" s="14"/>
      <c r="F1497" s="17"/>
      <c r="G1497" s="18"/>
      <c r="T1497" s="9"/>
      <c r="U1497" s="9"/>
      <c r="V1497" s="9"/>
      <c r="AO1497"/>
      <c r="AP1497"/>
      <c r="AQ1497"/>
      <c r="AR1497"/>
      <c r="AS1497"/>
      <c r="AT1497"/>
      <c r="AU1497"/>
      <c r="AV1497"/>
      <c r="AW1497"/>
      <c r="AX1497"/>
      <c r="AY1497"/>
      <c r="AZ1497"/>
      <c r="BA1497"/>
      <c r="BB1497"/>
      <c r="BC1497"/>
      <c r="BD1497"/>
      <c r="BE1497"/>
      <c r="BF1497"/>
      <c r="BG1497"/>
      <c r="BH1497"/>
      <c r="BI1497"/>
      <c r="BJ1497"/>
      <c r="BK1497"/>
      <c r="BL1497"/>
      <c r="BM1497"/>
      <c r="BN1497"/>
      <c r="BO1497"/>
    </row>
    <row r="1498" spans="3:67" s="1" customFormat="1" hidden="1">
      <c r="C1498" s="14"/>
      <c r="F1498" s="17"/>
      <c r="G1498" s="18"/>
      <c r="T1498" s="9"/>
      <c r="U1498" s="9"/>
      <c r="V1498" s="9"/>
      <c r="AO1498"/>
      <c r="AP1498"/>
      <c r="AQ1498"/>
      <c r="AR1498"/>
      <c r="AS1498"/>
      <c r="AT1498"/>
      <c r="AU1498"/>
      <c r="AV1498"/>
      <c r="AW1498"/>
      <c r="AX1498"/>
      <c r="AY1498"/>
      <c r="AZ1498"/>
      <c r="BA1498"/>
      <c r="BB1498"/>
      <c r="BC1498"/>
      <c r="BD1498"/>
      <c r="BE1498"/>
      <c r="BF1498"/>
      <c r="BG1498"/>
      <c r="BH1498"/>
      <c r="BI1498"/>
      <c r="BJ1498"/>
      <c r="BK1498"/>
      <c r="BL1498"/>
      <c r="BM1498"/>
      <c r="BN1498"/>
      <c r="BO1498"/>
    </row>
    <row r="1499" spans="3:67" s="1" customFormat="1" hidden="1">
      <c r="C1499" s="14"/>
      <c r="F1499" s="17"/>
      <c r="G1499" s="18"/>
      <c r="T1499" s="9"/>
      <c r="U1499" s="9"/>
      <c r="V1499" s="9"/>
      <c r="AO1499"/>
      <c r="AP1499"/>
      <c r="AQ1499"/>
      <c r="AR1499"/>
      <c r="AS1499"/>
      <c r="AT1499"/>
      <c r="AU1499"/>
      <c r="AV1499"/>
      <c r="AW1499"/>
      <c r="AX1499"/>
      <c r="AY1499"/>
      <c r="AZ1499"/>
      <c r="BA1499"/>
      <c r="BB1499"/>
      <c r="BC1499"/>
      <c r="BD1499"/>
      <c r="BE1499"/>
      <c r="BF1499"/>
      <c r="BG1499"/>
      <c r="BH1499"/>
      <c r="BI1499"/>
      <c r="BJ1499"/>
      <c r="BK1499"/>
      <c r="BL1499"/>
      <c r="BM1499"/>
      <c r="BN1499"/>
      <c r="BO1499"/>
    </row>
    <row r="1500" spans="3:67" s="1" customFormat="1" hidden="1">
      <c r="C1500" s="14"/>
      <c r="F1500" s="17"/>
      <c r="G1500" s="18"/>
      <c r="T1500" s="9"/>
      <c r="U1500" s="9"/>
      <c r="V1500" s="9"/>
      <c r="AO1500"/>
      <c r="AP1500"/>
      <c r="AQ1500"/>
      <c r="AR1500"/>
      <c r="AS1500"/>
      <c r="AT1500"/>
      <c r="AU1500"/>
      <c r="AV1500"/>
      <c r="AW1500"/>
      <c r="AX1500"/>
      <c r="AY1500"/>
      <c r="AZ1500"/>
      <c r="BA1500"/>
      <c r="BB1500"/>
      <c r="BC1500"/>
      <c r="BD1500"/>
      <c r="BE1500"/>
      <c r="BF1500"/>
      <c r="BG1500"/>
      <c r="BH1500"/>
      <c r="BI1500"/>
      <c r="BJ1500"/>
      <c r="BK1500"/>
      <c r="BL1500"/>
      <c r="BM1500"/>
      <c r="BN1500"/>
      <c r="BO1500"/>
    </row>
    <row r="1501" spans="3:67" s="1" customFormat="1" hidden="1">
      <c r="C1501" s="14"/>
      <c r="F1501" s="17"/>
      <c r="G1501" s="18"/>
      <c r="T1501" s="9"/>
      <c r="U1501" s="9"/>
      <c r="V1501" s="9"/>
      <c r="AO1501"/>
      <c r="AP1501"/>
      <c r="AQ1501"/>
      <c r="AR1501"/>
      <c r="AS1501"/>
      <c r="AT1501"/>
      <c r="AU1501"/>
      <c r="AV1501"/>
      <c r="AW1501"/>
      <c r="AX1501"/>
      <c r="AY1501"/>
      <c r="AZ1501"/>
      <c r="BA1501"/>
      <c r="BB1501"/>
      <c r="BC1501"/>
      <c r="BD1501"/>
      <c r="BE1501"/>
      <c r="BF1501"/>
      <c r="BG1501"/>
      <c r="BH1501"/>
      <c r="BI1501"/>
      <c r="BJ1501"/>
      <c r="BK1501"/>
      <c r="BL1501"/>
      <c r="BM1501"/>
      <c r="BN1501"/>
      <c r="BO1501"/>
    </row>
    <row r="1502" spans="3:67" s="1" customFormat="1" hidden="1">
      <c r="C1502" s="14"/>
      <c r="F1502" s="17"/>
      <c r="G1502" s="18"/>
      <c r="T1502" s="9"/>
      <c r="U1502" s="9"/>
      <c r="V1502" s="9"/>
      <c r="AO1502"/>
      <c r="AP1502"/>
      <c r="AQ1502"/>
      <c r="AR1502"/>
      <c r="AS1502"/>
      <c r="AT1502"/>
      <c r="AU1502"/>
      <c r="AV1502"/>
      <c r="AW1502"/>
      <c r="AX1502"/>
      <c r="AY1502"/>
      <c r="AZ1502"/>
      <c r="BA1502"/>
      <c r="BB1502"/>
      <c r="BC1502"/>
      <c r="BD1502"/>
      <c r="BE1502"/>
      <c r="BF1502"/>
      <c r="BG1502"/>
      <c r="BH1502"/>
      <c r="BI1502"/>
      <c r="BJ1502"/>
      <c r="BK1502"/>
      <c r="BL1502"/>
      <c r="BM1502"/>
      <c r="BN1502"/>
      <c r="BO1502"/>
    </row>
    <row r="1503" spans="3:67" s="1" customFormat="1" hidden="1">
      <c r="C1503" s="14"/>
      <c r="F1503" s="17"/>
      <c r="G1503" s="18"/>
      <c r="T1503" s="9"/>
      <c r="U1503" s="9"/>
      <c r="V1503" s="9"/>
      <c r="AO1503"/>
      <c r="AP1503"/>
      <c r="AQ1503"/>
      <c r="AR1503"/>
      <c r="AS1503"/>
      <c r="AT1503"/>
      <c r="AU1503"/>
      <c r="AV1503"/>
      <c r="AW1503"/>
      <c r="AX1503"/>
      <c r="AY1503"/>
      <c r="AZ1503"/>
      <c r="BA1503"/>
      <c r="BB1503"/>
      <c r="BC1503"/>
      <c r="BD1503"/>
      <c r="BE1503"/>
      <c r="BF1503"/>
      <c r="BG1503"/>
      <c r="BH1503"/>
      <c r="BI1503"/>
      <c r="BJ1503"/>
      <c r="BK1503"/>
      <c r="BL1503"/>
      <c r="BM1503"/>
      <c r="BN1503"/>
      <c r="BO1503"/>
    </row>
    <row r="1504" spans="3:67" s="1" customFormat="1" hidden="1">
      <c r="C1504" s="14"/>
      <c r="F1504" s="17"/>
      <c r="G1504" s="18"/>
      <c r="T1504" s="9"/>
      <c r="U1504" s="9"/>
      <c r="V1504" s="9"/>
      <c r="AO1504"/>
      <c r="AP1504"/>
      <c r="AQ1504"/>
      <c r="AR1504"/>
      <c r="AS1504"/>
      <c r="AT1504"/>
      <c r="AU1504"/>
      <c r="AV1504"/>
      <c r="AW1504"/>
      <c r="AX1504"/>
      <c r="AY1504"/>
      <c r="AZ1504"/>
      <c r="BA1504"/>
      <c r="BB1504"/>
      <c r="BC1504"/>
      <c r="BD1504"/>
      <c r="BE1504"/>
      <c r="BF1504"/>
      <c r="BG1504"/>
      <c r="BH1504"/>
      <c r="BI1504"/>
      <c r="BJ1504"/>
      <c r="BK1504"/>
      <c r="BL1504"/>
      <c r="BM1504"/>
      <c r="BN1504"/>
      <c r="BO1504"/>
    </row>
    <row r="1505" spans="3:67" s="1" customFormat="1" hidden="1">
      <c r="C1505" s="14"/>
      <c r="F1505" s="17"/>
      <c r="G1505" s="18"/>
      <c r="T1505" s="9"/>
      <c r="U1505" s="9"/>
      <c r="V1505" s="9"/>
      <c r="AO1505"/>
      <c r="AP1505"/>
      <c r="AQ1505"/>
      <c r="AR1505"/>
      <c r="AS1505"/>
      <c r="AT1505"/>
      <c r="AU1505"/>
      <c r="AV1505"/>
      <c r="AW1505"/>
      <c r="AX1505"/>
      <c r="AY1505"/>
      <c r="AZ1505"/>
      <c r="BA1505"/>
      <c r="BB1505"/>
      <c r="BC1505"/>
      <c r="BD1505"/>
      <c r="BE1505"/>
      <c r="BF1505"/>
      <c r="BG1505"/>
      <c r="BH1505"/>
      <c r="BI1505"/>
      <c r="BJ1505"/>
      <c r="BK1505"/>
      <c r="BL1505"/>
      <c r="BM1505"/>
      <c r="BN1505"/>
      <c r="BO1505"/>
    </row>
    <row r="1506" spans="3:67" s="1" customFormat="1" hidden="1">
      <c r="C1506" s="14"/>
      <c r="F1506" s="17"/>
      <c r="G1506" s="18"/>
      <c r="T1506" s="9"/>
      <c r="U1506" s="9"/>
      <c r="V1506" s="9"/>
      <c r="AO1506"/>
      <c r="AP1506"/>
      <c r="AQ1506"/>
      <c r="AR1506"/>
      <c r="AS1506"/>
      <c r="AT1506"/>
      <c r="AU1506"/>
      <c r="AV1506"/>
      <c r="AW1506"/>
      <c r="AX1506"/>
      <c r="AY1506"/>
      <c r="AZ1506"/>
      <c r="BA1506"/>
      <c r="BB1506"/>
      <c r="BC1506"/>
      <c r="BD1506"/>
      <c r="BE1506"/>
      <c r="BF1506"/>
      <c r="BG1506"/>
      <c r="BH1506"/>
      <c r="BI1506"/>
      <c r="BJ1506"/>
      <c r="BK1506"/>
      <c r="BL1506"/>
      <c r="BM1506"/>
      <c r="BN1506"/>
      <c r="BO1506"/>
    </row>
    <row r="1507" spans="3:67" s="1" customFormat="1" hidden="1">
      <c r="C1507" s="14"/>
      <c r="F1507" s="17"/>
      <c r="G1507" s="18"/>
      <c r="T1507" s="9"/>
      <c r="U1507" s="9"/>
      <c r="V1507" s="9"/>
      <c r="AO1507"/>
      <c r="AP1507"/>
      <c r="AQ1507"/>
      <c r="AR1507"/>
      <c r="AS1507"/>
      <c r="AT1507"/>
      <c r="AU1507"/>
      <c r="AV1507"/>
      <c r="AW1507"/>
      <c r="AX1507"/>
      <c r="AY1507"/>
      <c r="AZ1507"/>
      <c r="BA1507"/>
      <c r="BB1507"/>
      <c r="BC1507"/>
      <c r="BD1507"/>
      <c r="BE1507"/>
      <c r="BF1507"/>
      <c r="BG1507"/>
      <c r="BH1507"/>
      <c r="BI1507"/>
      <c r="BJ1507"/>
      <c r="BK1507"/>
      <c r="BL1507"/>
      <c r="BM1507"/>
      <c r="BN1507"/>
      <c r="BO1507"/>
    </row>
    <row r="1508" spans="3:67" s="1" customFormat="1" hidden="1">
      <c r="C1508" s="14"/>
      <c r="F1508" s="17"/>
      <c r="G1508" s="18"/>
      <c r="T1508" s="9"/>
      <c r="U1508" s="9"/>
      <c r="V1508" s="9"/>
      <c r="AO1508"/>
      <c r="AP1508"/>
      <c r="AQ1508"/>
      <c r="AR1508"/>
      <c r="AS1508"/>
      <c r="AT1508"/>
      <c r="AU1508"/>
      <c r="AV1508"/>
      <c r="AW1508"/>
      <c r="AX1508"/>
      <c r="AY1508"/>
      <c r="AZ1508"/>
      <c r="BA1508"/>
      <c r="BB1508"/>
      <c r="BC1508"/>
      <c r="BD1508"/>
      <c r="BE1508"/>
      <c r="BF1508"/>
      <c r="BG1508"/>
      <c r="BH1508"/>
      <c r="BI1508"/>
      <c r="BJ1508"/>
      <c r="BK1508"/>
      <c r="BL1508"/>
      <c r="BM1508"/>
      <c r="BN1508"/>
      <c r="BO1508"/>
    </row>
    <row r="1509" spans="3:67" s="1" customFormat="1" hidden="1">
      <c r="C1509" s="14"/>
      <c r="F1509" s="17"/>
      <c r="G1509" s="18"/>
      <c r="T1509" s="9"/>
      <c r="U1509" s="9"/>
      <c r="V1509" s="9"/>
      <c r="AO1509"/>
      <c r="AP1509"/>
      <c r="AQ1509"/>
      <c r="AR1509"/>
      <c r="AS1509"/>
      <c r="AT1509"/>
      <c r="AU1509"/>
      <c r="AV1509"/>
      <c r="AW1509"/>
      <c r="AX1509"/>
      <c r="AY1509"/>
      <c r="AZ1509"/>
      <c r="BA1509"/>
      <c r="BB1509"/>
      <c r="BC1509"/>
      <c r="BD1509"/>
      <c r="BE1509"/>
      <c r="BF1509"/>
      <c r="BG1509"/>
      <c r="BH1509"/>
      <c r="BI1509"/>
      <c r="BJ1509"/>
      <c r="BK1509"/>
      <c r="BL1509"/>
      <c r="BM1509"/>
      <c r="BN1509"/>
      <c r="BO1509"/>
    </row>
    <row r="1510" spans="3:67" s="1" customFormat="1" hidden="1">
      <c r="C1510" s="14"/>
      <c r="F1510" s="17"/>
      <c r="G1510" s="18"/>
      <c r="T1510" s="9"/>
      <c r="U1510" s="9"/>
      <c r="V1510" s="9"/>
      <c r="AO1510"/>
      <c r="AP1510"/>
      <c r="AQ1510"/>
      <c r="AR1510"/>
      <c r="AS1510"/>
      <c r="AT1510"/>
      <c r="AU1510"/>
      <c r="AV1510"/>
      <c r="AW1510"/>
      <c r="AX1510"/>
      <c r="AY1510"/>
      <c r="AZ1510"/>
      <c r="BA1510"/>
      <c r="BB1510"/>
      <c r="BC1510"/>
      <c r="BD1510"/>
      <c r="BE1510"/>
      <c r="BF1510"/>
      <c r="BG1510"/>
      <c r="BH1510"/>
      <c r="BI1510"/>
      <c r="BJ1510"/>
      <c r="BK1510"/>
      <c r="BL1510"/>
      <c r="BM1510"/>
      <c r="BN1510"/>
      <c r="BO1510"/>
    </row>
    <row r="1511" spans="3:67" s="1" customFormat="1" hidden="1">
      <c r="C1511" s="14"/>
      <c r="F1511" s="17"/>
      <c r="G1511" s="18"/>
      <c r="T1511" s="9"/>
      <c r="U1511" s="9"/>
      <c r="V1511" s="9"/>
      <c r="AO1511"/>
      <c r="AP1511"/>
      <c r="AQ1511"/>
      <c r="AR1511"/>
      <c r="AS1511"/>
      <c r="AT1511"/>
      <c r="AU1511"/>
      <c r="AV1511"/>
      <c r="AW1511"/>
      <c r="AX1511"/>
      <c r="AY1511"/>
      <c r="AZ1511"/>
      <c r="BA1511"/>
      <c r="BB1511"/>
      <c r="BC1511"/>
      <c r="BD1511"/>
      <c r="BE1511"/>
      <c r="BF1511"/>
      <c r="BG1511"/>
      <c r="BH1511"/>
      <c r="BI1511"/>
      <c r="BJ1511"/>
      <c r="BK1511"/>
      <c r="BL1511"/>
      <c r="BM1511"/>
      <c r="BN1511"/>
      <c r="BO1511"/>
    </row>
    <row r="1512" spans="3:67" s="1" customFormat="1" hidden="1">
      <c r="C1512" s="14"/>
      <c r="F1512" s="17"/>
      <c r="G1512" s="18"/>
      <c r="T1512" s="9"/>
      <c r="U1512" s="9"/>
      <c r="V1512" s="9"/>
      <c r="AO1512"/>
      <c r="AP1512"/>
      <c r="AQ1512"/>
      <c r="AR1512"/>
      <c r="AS1512"/>
      <c r="AT1512"/>
      <c r="AU1512"/>
      <c r="AV1512"/>
      <c r="AW1512"/>
      <c r="AX1512"/>
      <c r="AY1512"/>
      <c r="AZ1512"/>
      <c r="BA1512"/>
      <c r="BB1512"/>
      <c r="BC1512"/>
      <c r="BD1512"/>
      <c r="BE1512"/>
      <c r="BF1512"/>
      <c r="BG1512"/>
      <c r="BH1512"/>
      <c r="BI1512"/>
      <c r="BJ1512"/>
      <c r="BK1512"/>
      <c r="BL1512"/>
      <c r="BM1512"/>
      <c r="BN1512"/>
      <c r="BO1512"/>
    </row>
    <row r="1513" spans="3:67" s="1" customFormat="1" hidden="1">
      <c r="C1513" s="14"/>
      <c r="F1513" s="17"/>
      <c r="G1513" s="18"/>
      <c r="T1513" s="9"/>
      <c r="U1513" s="9"/>
      <c r="V1513" s="9"/>
      <c r="AO1513"/>
      <c r="AP1513"/>
      <c r="AQ1513"/>
      <c r="AR1513"/>
      <c r="AS1513"/>
      <c r="AT1513"/>
      <c r="AU1513"/>
      <c r="AV1513"/>
      <c r="AW1513"/>
      <c r="AX1513"/>
      <c r="AY1513"/>
      <c r="AZ1513"/>
      <c r="BA1513"/>
      <c r="BB1513"/>
      <c r="BC1513"/>
      <c r="BD1513"/>
      <c r="BE1513"/>
      <c r="BF1513"/>
      <c r="BG1513"/>
      <c r="BH1513"/>
      <c r="BI1513"/>
      <c r="BJ1513"/>
      <c r="BK1513"/>
      <c r="BL1513"/>
      <c r="BM1513"/>
      <c r="BN1513"/>
      <c r="BO1513"/>
    </row>
    <row r="1514" spans="3:67" s="1" customFormat="1" hidden="1">
      <c r="C1514" s="14"/>
      <c r="F1514" s="17"/>
      <c r="G1514" s="18"/>
      <c r="T1514" s="9"/>
      <c r="U1514" s="9"/>
      <c r="V1514" s="9"/>
      <c r="AO1514"/>
      <c r="AP1514"/>
      <c r="AQ1514"/>
      <c r="AR1514"/>
      <c r="AS1514"/>
      <c r="AT1514"/>
      <c r="AU1514"/>
      <c r="AV1514"/>
      <c r="AW1514"/>
      <c r="AX1514"/>
      <c r="AY1514"/>
      <c r="AZ1514"/>
      <c r="BA1514"/>
      <c r="BB1514"/>
      <c r="BC1514"/>
      <c r="BD1514"/>
      <c r="BE1514"/>
      <c r="BF1514"/>
      <c r="BG1514"/>
      <c r="BH1514"/>
      <c r="BI1514"/>
      <c r="BJ1514"/>
      <c r="BK1514"/>
      <c r="BL1514"/>
      <c r="BM1514"/>
      <c r="BN1514"/>
      <c r="BO1514"/>
    </row>
    <row r="1515" spans="3:67" s="1" customFormat="1" hidden="1">
      <c r="C1515" s="14"/>
      <c r="F1515" s="17"/>
      <c r="G1515" s="18"/>
      <c r="T1515" s="9"/>
      <c r="U1515" s="9"/>
      <c r="V1515" s="9"/>
      <c r="AO1515"/>
      <c r="AP1515"/>
      <c r="AQ1515"/>
      <c r="AR1515"/>
      <c r="AS1515"/>
      <c r="AT1515"/>
      <c r="AU1515"/>
      <c r="AV1515"/>
      <c r="AW1515"/>
      <c r="AX1515"/>
      <c r="AY1515"/>
      <c r="AZ1515"/>
      <c r="BA1515"/>
      <c r="BB1515"/>
      <c r="BC1515"/>
      <c r="BD1515"/>
      <c r="BE1515"/>
      <c r="BF1515"/>
      <c r="BG1515"/>
      <c r="BH1515"/>
      <c r="BI1515"/>
      <c r="BJ1515"/>
      <c r="BK1515"/>
      <c r="BL1515"/>
      <c r="BM1515"/>
      <c r="BN1515"/>
      <c r="BO1515"/>
    </row>
    <row r="1516" spans="3:67" s="1" customFormat="1" hidden="1">
      <c r="C1516" s="14"/>
      <c r="F1516" s="17"/>
      <c r="G1516" s="18"/>
      <c r="T1516" s="9"/>
      <c r="U1516" s="9"/>
      <c r="V1516" s="9"/>
      <c r="AO1516"/>
      <c r="AP1516"/>
      <c r="AQ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</row>
    <row r="1517" spans="3:67" s="1" customFormat="1" hidden="1">
      <c r="C1517" s="14"/>
      <c r="F1517" s="17"/>
      <c r="G1517" s="18"/>
      <c r="T1517" s="9"/>
      <c r="U1517" s="9"/>
      <c r="V1517" s="9"/>
      <c r="AO1517"/>
      <c r="AP1517"/>
      <c r="AQ1517"/>
      <c r="AR1517"/>
      <c r="AS1517"/>
      <c r="AT1517"/>
      <c r="AU1517"/>
      <c r="AV1517"/>
      <c r="AW1517"/>
      <c r="AX1517"/>
      <c r="AY1517"/>
      <c r="AZ1517"/>
      <c r="BA1517"/>
      <c r="BB1517"/>
      <c r="BC1517"/>
      <c r="BD1517"/>
      <c r="BE1517"/>
      <c r="BF1517"/>
      <c r="BG1517"/>
      <c r="BH1517"/>
      <c r="BI1517"/>
      <c r="BJ1517"/>
      <c r="BK1517"/>
      <c r="BL1517"/>
      <c r="BM1517"/>
      <c r="BN1517"/>
      <c r="BO1517"/>
    </row>
    <row r="1518" spans="3:67" s="1" customFormat="1" hidden="1">
      <c r="C1518" s="14"/>
      <c r="F1518" s="17"/>
      <c r="G1518" s="18"/>
      <c r="T1518" s="9"/>
      <c r="U1518" s="9"/>
      <c r="V1518" s="9"/>
      <c r="AO1518"/>
      <c r="AP1518"/>
      <c r="AQ1518"/>
      <c r="AR1518"/>
      <c r="AS1518"/>
      <c r="AT1518"/>
      <c r="AU1518"/>
      <c r="AV1518"/>
      <c r="AW1518"/>
      <c r="AX1518"/>
      <c r="AY1518"/>
      <c r="AZ1518"/>
      <c r="BA1518"/>
      <c r="BB1518"/>
      <c r="BC1518"/>
      <c r="BD1518"/>
      <c r="BE1518"/>
      <c r="BF1518"/>
      <c r="BG1518"/>
      <c r="BH1518"/>
      <c r="BI1518"/>
      <c r="BJ1518"/>
      <c r="BK1518"/>
      <c r="BL1518"/>
      <c r="BM1518"/>
      <c r="BN1518"/>
      <c r="BO1518"/>
    </row>
    <row r="1519" spans="3:67" s="1" customFormat="1" hidden="1">
      <c r="C1519" s="14"/>
      <c r="F1519" s="17"/>
      <c r="G1519" s="18"/>
      <c r="T1519" s="9"/>
      <c r="U1519" s="9"/>
      <c r="V1519" s="9"/>
      <c r="AO1519"/>
      <c r="AP1519"/>
      <c r="AQ1519"/>
      <c r="AR1519"/>
      <c r="AS1519"/>
      <c r="AT1519"/>
      <c r="AU1519"/>
      <c r="AV1519"/>
      <c r="AW1519"/>
      <c r="AX1519"/>
      <c r="AY1519"/>
      <c r="AZ1519"/>
      <c r="BA1519"/>
      <c r="BB1519"/>
      <c r="BC1519"/>
      <c r="BD1519"/>
      <c r="BE1519"/>
      <c r="BF1519"/>
      <c r="BG1519"/>
      <c r="BH1519"/>
      <c r="BI1519"/>
      <c r="BJ1519"/>
      <c r="BK1519"/>
      <c r="BL1519"/>
      <c r="BM1519"/>
      <c r="BN1519"/>
      <c r="BO1519"/>
    </row>
    <row r="1520" spans="3:67" s="1" customFormat="1" hidden="1">
      <c r="C1520" s="14"/>
      <c r="F1520" s="17"/>
      <c r="G1520" s="18"/>
      <c r="T1520" s="9"/>
      <c r="U1520" s="9"/>
      <c r="V1520" s="9"/>
      <c r="AO1520"/>
      <c r="AP1520"/>
      <c r="AQ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</row>
    <row r="1521" spans="3:67" s="1" customFormat="1" hidden="1">
      <c r="C1521" s="14"/>
      <c r="F1521" s="17"/>
      <c r="G1521" s="18"/>
      <c r="T1521" s="9"/>
      <c r="U1521" s="9"/>
      <c r="V1521" s="9"/>
      <c r="AO1521"/>
      <c r="AP1521"/>
      <c r="AQ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/>
      <c r="BN1521"/>
      <c r="BO1521"/>
    </row>
    <row r="1522" spans="3:67" s="1" customFormat="1" hidden="1">
      <c r="C1522" s="14"/>
      <c r="F1522" s="17"/>
      <c r="G1522" s="18"/>
      <c r="T1522" s="9"/>
      <c r="U1522" s="9"/>
      <c r="V1522" s="9"/>
      <c r="AO1522"/>
      <c r="AP1522"/>
      <c r="AQ1522"/>
      <c r="AR1522"/>
      <c r="AS1522"/>
      <c r="AT1522"/>
      <c r="AU1522"/>
      <c r="AV1522"/>
      <c r="AW1522"/>
      <c r="AX1522"/>
      <c r="AY1522"/>
      <c r="AZ1522"/>
      <c r="BA1522"/>
      <c r="BB1522"/>
      <c r="BC1522"/>
      <c r="BD1522"/>
      <c r="BE1522"/>
      <c r="BF1522"/>
      <c r="BG1522"/>
      <c r="BH1522"/>
      <c r="BI1522"/>
      <c r="BJ1522"/>
      <c r="BK1522"/>
      <c r="BL1522"/>
      <c r="BM1522"/>
      <c r="BN1522"/>
      <c r="BO1522"/>
    </row>
    <row r="1523" spans="3:67" s="1" customFormat="1" hidden="1">
      <c r="C1523" s="14"/>
      <c r="F1523" s="17"/>
      <c r="G1523" s="18"/>
      <c r="T1523" s="9"/>
      <c r="U1523" s="9"/>
      <c r="V1523" s="9"/>
      <c r="AO1523"/>
      <c r="AP1523"/>
      <c r="AQ1523"/>
      <c r="AR1523"/>
      <c r="AS1523"/>
      <c r="AT1523"/>
      <c r="AU1523"/>
      <c r="AV1523"/>
      <c r="AW1523"/>
      <c r="AX1523"/>
      <c r="AY1523"/>
      <c r="AZ1523"/>
      <c r="BA1523"/>
      <c r="BB1523"/>
      <c r="BC1523"/>
      <c r="BD1523"/>
      <c r="BE1523"/>
      <c r="BF1523"/>
      <c r="BG1523"/>
      <c r="BH1523"/>
      <c r="BI1523"/>
      <c r="BJ1523"/>
      <c r="BK1523"/>
      <c r="BL1523"/>
      <c r="BM1523"/>
      <c r="BN1523"/>
      <c r="BO1523"/>
    </row>
    <row r="1524" spans="3:67" s="1" customFormat="1" hidden="1">
      <c r="C1524" s="14"/>
      <c r="F1524" s="17"/>
      <c r="G1524" s="18"/>
      <c r="T1524" s="9"/>
      <c r="U1524" s="9"/>
      <c r="V1524" s="9"/>
      <c r="AO1524"/>
      <c r="AP1524"/>
      <c r="AQ1524"/>
      <c r="AR1524"/>
      <c r="AS1524"/>
      <c r="AT1524"/>
      <c r="AU1524"/>
      <c r="AV1524"/>
      <c r="AW1524"/>
      <c r="AX1524"/>
      <c r="AY1524"/>
      <c r="AZ1524"/>
      <c r="BA1524"/>
      <c r="BB1524"/>
      <c r="BC1524"/>
      <c r="BD1524"/>
      <c r="BE1524"/>
      <c r="BF1524"/>
      <c r="BG1524"/>
      <c r="BH1524"/>
      <c r="BI1524"/>
      <c r="BJ1524"/>
      <c r="BK1524"/>
      <c r="BL1524"/>
      <c r="BM1524"/>
      <c r="BN1524"/>
      <c r="BO1524"/>
    </row>
    <row r="1525" spans="3:67" s="1" customFormat="1" hidden="1">
      <c r="C1525" s="14"/>
      <c r="F1525" s="17"/>
      <c r="G1525" s="18"/>
      <c r="T1525" s="9"/>
      <c r="U1525" s="9"/>
      <c r="V1525" s="9"/>
      <c r="AO1525"/>
      <c r="AP1525"/>
      <c r="AQ1525"/>
      <c r="AR1525"/>
      <c r="AS1525"/>
      <c r="AT1525"/>
      <c r="AU1525"/>
      <c r="AV1525"/>
      <c r="AW1525"/>
      <c r="AX1525"/>
      <c r="AY1525"/>
      <c r="AZ1525"/>
      <c r="BA1525"/>
      <c r="BB1525"/>
      <c r="BC1525"/>
      <c r="BD1525"/>
      <c r="BE1525"/>
      <c r="BF1525"/>
      <c r="BG1525"/>
      <c r="BH1525"/>
      <c r="BI1525"/>
      <c r="BJ1525"/>
      <c r="BK1525"/>
      <c r="BL1525"/>
      <c r="BM1525"/>
      <c r="BN1525"/>
      <c r="BO1525"/>
    </row>
    <row r="1526" spans="3:67" s="1" customFormat="1" hidden="1">
      <c r="C1526" s="14"/>
      <c r="F1526" s="17"/>
      <c r="G1526" s="18"/>
      <c r="T1526" s="9"/>
      <c r="U1526" s="9"/>
      <c r="V1526" s="9"/>
      <c r="AO1526"/>
      <c r="AP1526"/>
      <c r="AQ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</row>
    <row r="1527" spans="3:67" s="1" customFormat="1" hidden="1">
      <c r="C1527" s="14"/>
      <c r="F1527" s="17"/>
      <c r="G1527" s="18"/>
      <c r="T1527" s="9"/>
      <c r="U1527" s="9"/>
      <c r="V1527" s="9"/>
      <c r="AO1527"/>
      <c r="AP1527"/>
      <c r="AQ1527"/>
      <c r="AR1527"/>
      <c r="AS1527"/>
      <c r="AT1527"/>
      <c r="AU1527"/>
      <c r="AV1527"/>
      <c r="AW1527"/>
      <c r="AX1527"/>
      <c r="AY1527"/>
      <c r="AZ1527"/>
      <c r="BA1527"/>
      <c r="BB1527"/>
      <c r="BC1527"/>
      <c r="BD1527"/>
      <c r="BE1527"/>
      <c r="BF1527"/>
      <c r="BG1527"/>
      <c r="BH1527"/>
      <c r="BI1527"/>
      <c r="BJ1527"/>
      <c r="BK1527"/>
      <c r="BL1527"/>
      <c r="BM1527"/>
      <c r="BN1527"/>
      <c r="BO1527"/>
    </row>
    <row r="1528" spans="3:67" s="1" customFormat="1" hidden="1">
      <c r="C1528" s="14"/>
      <c r="F1528" s="17"/>
      <c r="G1528" s="18"/>
      <c r="T1528" s="9"/>
      <c r="U1528" s="9"/>
      <c r="V1528" s="9"/>
      <c r="AO1528"/>
      <c r="AP1528"/>
      <c r="AQ1528"/>
      <c r="AR1528"/>
      <c r="AS1528"/>
      <c r="AT1528"/>
      <c r="AU1528"/>
      <c r="AV1528"/>
      <c r="AW1528"/>
      <c r="AX1528"/>
      <c r="AY1528"/>
      <c r="AZ1528"/>
      <c r="BA1528"/>
      <c r="BB1528"/>
      <c r="BC1528"/>
      <c r="BD1528"/>
      <c r="BE1528"/>
      <c r="BF1528"/>
      <c r="BG1528"/>
      <c r="BH1528"/>
      <c r="BI1528"/>
      <c r="BJ1528"/>
      <c r="BK1528"/>
      <c r="BL1528"/>
      <c r="BM1528"/>
      <c r="BN1528"/>
      <c r="BO1528"/>
    </row>
    <row r="1529" spans="3:67" s="1" customFormat="1" hidden="1">
      <c r="C1529" s="14"/>
      <c r="F1529" s="17"/>
      <c r="G1529" s="18"/>
      <c r="T1529" s="9"/>
      <c r="U1529" s="9"/>
      <c r="V1529" s="9"/>
      <c r="AO1529"/>
      <c r="AP1529"/>
      <c r="AQ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/>
      <c r="BN1529"/>
      <c r="BO1529"/>
    </row>
    <row r="1530" spans="3:67" s="1" customFormat="1" hidden="1">
      <c r="C1530" s="14"/>
      <c r="F1530" s="17"/>
      <c r="G1530" s="18"/>
      <c r="T1530" s="9"/>
      <c r="U1530" s="9"/>
      <c r="V1530" s="9"/>
      <c r="AO1530"/>
      <c r="AP1530"/>
      <c r="AQ1530"/>
      <c r="AR1530"/>
      <c r="AS1530"/>
      <c r="AT1530"/>
      <c r="AU1530"/>
      <c r="AV1530"/>
      <c r="AW1530"/>
      <c r="AX1530"/>
      <c r="AY1530"/>
      <c r="AZ1530"/>
      <c r="BA1530"/>
      <c r="BB1530"/>
      <c r="BC1530"/>
      <c r="BD1530"/>
      <c r="BE1530"/>
      <c r="BF1530"/>
      <c r="BG1530"/>
      <c r="BH1530"/>
      <c r="BI1530"/>
      <c r="BJ1530"/>
      <c r="BK1530"/>
      <c r="BL1530"/>
      <c r="BM1530"/>
      <c r="BN1530"/>
      <c r="BO1530"/>
    </row>
    <row r="1531" spans="3:67" s="1" customFormat="1" hidden="1">
      <c r="C1531" s="14"/>
      <c r="F1531" s="17"/>
      <c r="G1531" s="18"/>
      <c r="T1531" s="9"/>
      <c r="U1531" s="9"/>
      <c r="V1531" s="9"/>
      <c r="AO1531"/>
      <c r="AP1531"/>
      <c r="AQ1531"/>
      <c r="AR1531"/>
      <c r="AS1531"/>
      <c r="AT1531"/>
      <c r="AU1531"/>
      <c r="AV1531"/>
      <c r="AW1531"/>
      <c r="AX1531"/>
      <c r="AY1531"/>
      <c r="AZ1531"/>
      <c r="BA1531"/>
      <c r="BB1531"/>
      <c r="BC1531"/>
      <c r="BD1531"/>
      <c r="BE1531"/>
      <c r="BF1531"/>
      <c r="BG1531"/>
      <c r="BH1531"/>
      <c r="BI1531"/>
      <c r="BJ1531"/>
      <c r="BK1531"/>
      <c r="BL1531"/>
      <c r="BM1531"/>
      <c r="BN1531"/>
      <c r="BO1531"/>
    </row>
    <row r="1532" spans="3:67" s="1" customFormat="1" hidden="1">
      <c r="C1532" s="14"/>
      <c r="F1532" s="17"/>
      <c r="G1532" s="18"/>
      <c r="T1532" s="9"/>
      <c r="U1532" s="9"/>
      <c r="V1532" s="9"/>
      <c r="AO1532"/>
      <c r="AP1532"/>
      <c r="AQ1532"/>
      <c r="AR1532"/>
      <c r="AS1532"/>
      <c r="AT1532"/>
      <c r="AU1532"/>
      <c r="AV1532"/>
      <c r="AW1532"/>
      <c r="AX1532"/>
      <c r="AY1532"/>
      <c r="AZ1532"/>
      <c r="BA1532"/>
      <c r="BB1532"/>
      <c r="BC1532"/>
      <c r="BD1532"/>
      <c r="BE1532"/>
      <c r="BF1532"/>
      <c r="BG1532"/>
      <c r="BH1532"/>
      <c r="BI1532"/>
      <c r="BJ1532"/>
      <c r="BK1532"/>
      <c r="BL1532"/>
      <c r="BM1532"/>
      <c r="BN1532"/>
      <c r="BO1532"/>
    </row>
    <row r="1533" spans="3:67" s="1" customFormat="1" hidden="1">
      <c r="C1533" s="14"/>
      <c r="F1533" s="17"/>
      <c r="G1533" s="18"/>
      <c r="T1533" s="9"/>
      <c r="U1533" s="9"/>
      <c r="V1533" s="9"/>
      <c r="AO1533"/>
      <c r="AP1533"/>
      <c r="AQ1533"/>
      <c r="AR1533"/>
      <c r="AS1533"/>
      <c r="AT1533"/>
      <c r="AU1533"/>
      <c r="AV1533"/>
      <c r="AW1533"/>
      <c r="AX1533"/>
      <c r="AY1533"/>
      <c r="AZ1533"/>
      <c r="BA1533"/>
      <c r="BB1533"/>
      <c r="BC1533"/>
      <c r="BD1533"/>
      <c r="BE1533"/>
      <c r="BF1533"/>
      <c r="BG1533"/>
      <c r="BH1533"/>
      <c r="BI1533"/>
      <c r="BJ1533"/>
      <c r="BK1533"/>
      <c r="BL1533"/>
      <c r="BM1533"/>
      <c r="BN1533"/>
      <c r="BO1533"/>
    </row>
    <row r="1534" spans="3:67" s="1" customFormat="1" hidden="1">
      <c r="C1534" s="14"/>
      <c r="F1534" s="17"/>
      <c r="G1534" s="18"/>
      <c r="T1534" s="9"/>
      <c r="U1534" s="9"/>
      <c r="V1534" s="9"/>
      <c r="AO1534"/>
      <c r="AP1534"/>
      <c r="AQ1534"/>
      <c r="AR1534"/>
      <c r="AS1534"/>
      <c r="AT1534"/>
      <c r="AU1534"/>
      <c r="AV1534"/>
      <c r="AW1534"/>
      <c r="AX1534"/>
      <c r="AY1534"/>
      <c r="AZ1534"/>
      <c r="BA1534"/>
      <c r="BB1534"/>
      <c r="BC1534"/>
      <c r="BD1534"/>
      <c r="BE1534"/>
      <c r="BF1534"/>
      <c r="BG1534"/>
      <c r="BH1534"/>
      <c r="BI1534"/>
      <c r="BJ1534"/>
      <c r="BK1534"/>
      <c r="BL1534"/>
      <c r="BM1534"/>
      <c r="BN1534"/>
      <c r="BO1534"/>
    </row>
    <row r="1535" spans="3:67" s="1" customFormat="1" hidden="1">
      <c r="C1535" s="14"/>
      <c r="F1535" s="17"/>
      <c r="G1535" s="18"/>
      <c r="T1535" s="9"/>
      <c r="U1535" s="9"/>
      <c r="V1535" s="9"/>
      <c r="AO1535"/>
      <c r="AP1535"/>
      <c r="AQ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</row>
    <row r="1536" spans="3:67" s="1" customFormat="1" hidden="1">
      <c r="C1536" s="14"/>
      <c r="F1536" s="17"/>
      <c r="G1536" s="18"/>
      <c r="T1536" s="9"/>
      <c r="U1536" s="9"/>
      <c r="V1536" s="9"/>
      <c r="AO1536"/>
      <c r="AP1536"/>
      <c r="AQ1536"/>
      <c r="AR1536"/>
      <c r="AS1536"/>
      <c r="AT1536"/>
      <c r="AU1536"/>
      <c r="AV1536"/>
      <c r="AW1536"/>
      <c r="AX1536"/>
      <c r="AY1536"/>
      <c r="AZ1536"/>
      <c r="BA1536"/>
      <c r="BB1536"/>
      <c r="BC1536"/>
      <c r="BD1536"/>
      <c r="BE1536"/>
      <c r="BF1536"/>
      <c r="BG1536"/>
      <c r="BH1536"/>
      <c r="BI1536"/>
      <c r="BJ1536"/>
      <c r="BK1536"/>
      <c r="BL1536"/>
      <c r="BM1536"/>
      <c r="BN1536"/>
      <c r="BO1536"/>
    </row>
    <row r="1537" spans="3:67" s="1" customFormat="1" hidden="1">
      <c r="C1537" s="14"/>
      <c r="F1537" s="17"/>
      <c r="G1537" s="18"/>
      <c r="T1537" s="9"/>
      <c r="U1537" s="9"/>
      <c r="V1537" s="9"/>
      <c r="AO1537"/>
      <c r="AP1537"/>
      <c r="AQ1537"/>
      <c r="AR1537"/>
      <c r="AS1537"/>
      <c r="AT1537"/>
      <c r="AU1537"/>
      <c r="AV1537"/>
      <c r="AW1537"/>
      <c r="AX1537"/>
      <c r="AY1537"/>
      <c r="AZ1537"/>
      <c r="BA1537"/>
      <c r="BB1537"/>
      <c r="BC1537"/>
      <c r="BD1537"/>
      <c r="BE1537"/>
      <c r="BF1537"/>
      <c r="BG1537"/>
      <c r="BH1537"/>
      <c r="BI1537"/>
      <c r="BJ1537"/>
      <c r="BK1537"/>
      <c r="BL1537"/>
      <c r="BM1537"/>
      <c r="BN1537"/>
      <c r="BO1537"/>
    </row>
    <row r="1538" spans="3:67" s="1" customFormat="1" hidden="1">
      <c r="C1538" s="14"/>
      <c r="F1538" s="17"/>
      <c r="G1538" s="18"/>
      <c r="T1538" s="9"/>
      <c r="U1538" s="9"/>
      <c r="V1538" s="9"/>
      <c r="AO1538"/>
      <c r="AP1538"/>
      <c r="AQ1538"/>
      <c r="AR1538"/>
      <c r="AS1538"/>
      <c r="AT1538"/>
      <c r="AU1538"/>
      <c r="AV1538"/>
      <c r="AW1538"/>
      <c r="AX1538"/>
      <c r="AY1538"/>
      <c r="AZ1538"/>
      <c r="BA1538"/>
      <c r="BB1538"/>
      <c r="BC1538"/>
      <c r="BD1538"/>
      <c r="BE1538"/>
      <c r="BF1538"/>
      <c r="BG1538"/>
      <c r="BH1538"/>
      <c r="BI1538"/>
      <c r="BJ1538"/>
      <c r="BK1538"/>
      <c r="BL1538"/>
      <c r="BM1538"/>
      <c r="BN1538"/>
      <c r="BO1538"/>
    </row>
    <row r="1539" spans="3:67" s="1" customFormat="1" hidden="1">
      <c r="C1539" s="14"/>
      <c r="F1539" s="17"/>
      <c r="G1539" s="18"/>
      <c r="T1539" s="9"/>
      <c r="U1539" s="9"/>
      <c r="V1539" s="9"/>
      <c r="AO1539"/>
      <c r="AP1539"/>
      <c r="AQ1539"/>
      <c r="AR1539"/>
      <c r="AS1539"/>
      <c r="AT1539"/>
      <c r="AU1539"/>
      <c r="AV1539"/>
      <c r="AW1539"/>
      <c r="AX1539"/>
      <c r="AY1539"/>
      <c r="AZ1539"/>
      <c r="BA1539"/>
      <c r="BB1539"/>
      <c r="BC1539"/>
      <c r="BD1539"/>
      <c r="BE1539"/>
      <c r="BF1539"/>
      <c r="BG1539"/>
      <c r="BH1539"/>
      <c r="BI1539"/>
      <c r="BJ1539"/>
      <c r="BK1539"/>
      <c r="BL1539"/>
      <c r="BM1539"/>
      <c r="BN1539"/>
      <c r="BO1539"/>
    </row>
    <row r="1540" spans="3:67" s="1" customFormat="1" hidden="1">
      <c r="C1540" s="14"/>
      <c r="F1540" s="17"/>
      <c r="G1540" s="18"/>
      <c r="T1540" s="9"/>
      <c r="U1540" s="9"/>
      <c r="V1540" s="9"/>
      <c r="AO1540"/>
      <c r="AP1540"/>
      <c r="AQ1540"/>
      <c r="AR1540"/>
      <c r="AS1540"/>
      <c r="AT1540"/>
      <c r="AU1540"/>
      <c r="AV1540"/>
      <c r="AW1540"/>
      <c r="AX1540"/>
      <c r="AY1540"/>
      <c r="AZ1540"/>
      <c r="BA1540"/>
      <c r="BB1540"/>
      <c r="BC1540"/>
      <c r="BD1540"/>
      <c r="BE1540"/>
      <c r="BF1540"/>
      <c r="BG1540"/>
      <c r="BH1540"/>
      <c r="BI1540"/>
      <c r="BJ1540"/>
      <c r="BK1540"/>
      <c r="BL1540"/>
      <c r="BM1540"/>
      <c r="BN1540"/>
      <c r="BO1540"/>
    </row>
    <row r="1541" spans="3:67" s="1" customFormat="1" hidden="1">
      <c r="C1541" s="14"/>
      <c r="F1541" s="17"/>
      <c r="G1541" s="18"/>
      <c r="T1541" s="9"/>
      <c r="U1541" s="9"/>
      <c r="V1541" s="9"/>
      <c r="AO1541"/>
      <c r="AP1541"/>
      <c r="AQ1541"/>
      <c r="AR1541"/>
      <c r="AS1541"/>
      <c r="AT1541"/>
      <c r="AU1541"/>
      <c r="AV1541"/>
      <c r="AW1541"/>
      <c r="AX1541"/>
      <c r="AY1541"/>
      <c r="AZ1541"/>
      <c r="BA1541"/>
      <c r="BB1541"/>
      <c r="BC1541"/>
      <c r="BD1541"/>
      <c r="BE1541"/>
      <c r="BF1541"/>
      <c r="BG1541"/>
      <c r="BH1541"/>
      <c r="BI1541"/>
      <c r="BJ1541"/>
      <c r="BK1541"/>
      <c r="BL1541"/>
      <c r="BM1541"/>
      <c r="BN1541"/>
      <c r="BO1541"/>
    </row>
    <row r="1542" spans="3:67" s="1" customFormat="1" hidden="1">
      <c r="C1542" s="14"/>
      <c r="F1542" s="17"/>
      <c r="G1542" s="18"/>
      <c r="T1542" s="9"/>
      <c r="U1542" s="9"/>
      <c r="V1542" s="9"/>
      <c r="AO1542"/>
      <c r="AP1542"/>
      <c r="AQ1542"/>
      <c r="AR1542"/>
      <c r="AS1542"/>
      <c r="AT1542"/>
      <c r="AU1542"/>
      <c r="AV1542"/>
      <c r="AW1542"/>
      <c r="AX1542"/>
      <c r="AY1542"/>
      <c r="AZ1542"/>
      <c r="BA1542"/>
      <c r="BB1542"/>
      <c r="BC1542"/>
      <c r="BD1542"/>
      <c r="BE1542"/>
      <c r="BF1542"/>
      <c r="BG1542"/>
      <c r="BH1542"/>
      <c r="BI1542"/>
      <c r="BJ1542"/>
      <c r="BK1542"/>
      <c r="BL1542"/>
      <c r="BM1542"/>
      <c r="BN1542"/>
      <c r="BO1542"/>
    </row>
    <row r="1543" spans="3:67" s="1" customFormat="1" hidden="1">
      <c r="C1543" s="14"/>
      <c r="F1543" s="17"/>
      <c r="G1543" s="18"/>
      <c r="T1543" s="9"/>
      <c r="U1543" s="9"/>
      <c r="V1543" s="9"/>
      <c r="AO1543"/>
      <c r="AP1543"/>
      <c r="AQ1543"/>
      <c r="AR1543"/>
      <c r="AS1543"/>
      <c r="AT1543"/>
      <c r="AU1543"/>
      <c r="AV1543"/>
      <c r="AW1543"/>
      <c r="AX1543"/>
      <c r="AY1543"/>
      <c r="AZ1543"/>
      <c r="BA1543"/>
      <c r="BB1543"/>
      <c r="BC1543"/>
      <c r="BD1543"/>
      <c r="BE1543"/>
      <c r="BF1543"/>
      <c r="BG1543"/>
      <c r="BH1543"/>
      <c r="BI1543"/>
      <c r="BJ1543"/>
      <c r="BK1543"/>
      <c r="BL1543"/>
      <c r="BM1543"/>
      <c r="BN1543"/>
      <c r="BO1543"/>
    </row>
    <row r="1544" spans="3:67" s="1" customFormat="1" hidden="1">
      <c r="C1544" s="14"/>
      <c r="F1544" s="17"/>
      <c r="G1544" s="18"/>
      <c r="T1544" s="9"/>
      <c r="U1544" s="9"/>
      <c r="V1544" s="9"/>
      <c r="AO1544"/>
      <c r="AP1544"/>
      <c r="AQ1544"/>
      <c r="AR1544"/>
      <c r="AS1544"/>
      <c r="AT1544"/>
      <c r="AU1544"/>
      <c r="AV1544"/>
      <c r="AW1544"/>
      <c r="AX1544"/>
      <c r="AY1544"/>
      <c r="AZ1544"/>
      <c r="BA1544"/>
      <c r="BB1544"/>
      <c r="BC1544"/>
      <c r="BD1544"/>
      <c r="BE1544"/>
      <c r="BF1544"/>
      <c r="BG1544"/>
      <c r="BH1544"/>
      <c r="BI1544"/>
      <c r="BJ1544"/>
      <c r="BK1544"/>
      <c r="BL1544"/>
      <c r="BM1544"/>
      <c r="BN1544"/>
      <c r="BO1544"/>
    </row>
    <row r="1545" spans="3:67" s="1" customFormat="1" hidden="1">
      <c r="C1545" s="14"/>
      <c r="F1545" s="17"/>
      <c r="G1545" s="18"/>
      <c r="T1545" s="9"/>
      <c r="U1545" s="9"/>
      <c r="V1545" s="9"/>
      <c r="AO1545"/>
      <c r="AP1545"/>
      <c r="AQ1545"/>
      <c r="AR1545"/>
      <c r="AS1545"/>
      <c r="AT1545"/>
      <c r="AU1545"/>
      <c r="AV1545"/>
      <c r="AW1545"/>
      <c r="AX1545"/>
      <c r="AY1545"/>
      <c r="AZ1545"/>
      <c r="BA1545"/>
      <c r="BB1545"/>
      <c r="BC1545"/>
      <c r="BD1545"/>
      <c r="BE1545"/>
      <c r="BF1545"/>
      <c r="BG1545"/>
      <c r="BH1545"/>
      <c r="BI1545"/>
      <c r="BJ1545"/>
      <c r="BK1545"/>
      <c r="BL1545"/>
      <c r="BM1545"/>
      <c r="BN1545"/>
      <c r="BO1545"/>
    </row>
    <row r="1546" spans="3:67" s="1" customFormat="1" hidden="1">
      <c r="C1546" s="14"/>
      <c r="F1546" s="17"/>
      <c r="G1546" s="18"/>
      <c r="T1546" s="9"/>
      <c r="U1546" s="9"/>
      <c r="V1546" s="9"/>
      <c r="AO1546"/>
      <c r="AP1546"/>
      <c r="AQ1546"/>
      <c r="AR1546"/>
      <c r="AS1546"/>
      <c r="AT1546"/>
      <c r="AU1546"/>
      <c r="AV1546"/>
      <c r="AW1546"/>
      <c r="AX1546"/>
      <c r="AY1546"/>
      <c r="AZ1546"/>
      <c r="BA1546"/>
      <c r="BB1546"/>
      <c r="BC1546"/>
      <c r="BD1546"/>
      <c r="BE1546"/>
      <c r="BF1546"/>
      <c r="BG1546"/>
      <c r="BH1546"/>
      <c r="BI1546"/>
      <c r="BJ1546"/>
      <c r="BK1546"/>
      <c r="BL1546"/>
      <c r="BM1546"/>
      <c r="BN1546"/>
      <c r="BO1546"/>
    </row>
    <row r="1547" spans="3:67" s="1" customFormat="1" hidden="1">
      <c r="C1547" s="14"/>
      <c r="F1547" s="17"/>
      <c r="G1547" s="18"/>
      <c r="T1547" s="9"/>
      <c r="U1547" s="9"/>
      <c r="V1547" s="9"/>
      <c r="AO1547"/>
      <c r="AP1547"/>
      <c r="AQ1547"/>
      <c r="AR1547"/>
      <c r="AS1547"/>
      <c r="AT1547"/>
      <c r="AU1547"/>
      <c r="AV1547"/>
      <c r="AW1547"/>
      <c r="AX1547"/>
      <c r="AY1547"/>
      <c r="AZ1547"/>
      <c r="BA1547"/>
      <c r="BB1547"/>
      <c r="BC1547"/>
      <c r="BD1547"/>
      <c r="BE1547"/>
      <c r="BF1547"/>
      <c r="BG1547"/>
      <c r="BH1547"/>
      <c r="BI1547"/>
      <c r="BJ1547"/>
      <c r="BK1547"/>
      <c r="BL1547"/>
      <c r="BM1547"/>
      <c r="BN1547"/>
      <c r="BO1547"/>
    </row>
    <row r="1548" spans="3:67" s="1" customFormat="1" hidden="1">
      <c r="C1548" s="14"/>
      <c r="F1548" s="17"/>
      <c r="G1548" s="18"/>
      <c r="T1548" s="9"/>
      <c r="U1548" s="9"/>
      <c r="V1548" s="9"/>
      <c r="AO1548"/>
      <c r="AP1548"/>
      <c r="AQ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</row>
    <row r="1549" spans="3:67" s="1" customFormat="1" hidden="1">
      <c r="C1549" s="14"/>
      <c r="F1549" s="17"/>
      <c r="G1549" s="18"/>
      <c r="T1549" s="9"/>
      <c r="U1549" s="9"/>
      <c r="V1549" s="9"/>
      <c r="AO1549"/>
      <c r="AP1549"/>
      <c r="AQ1549"/>
      <c r="AR1549"/>
      <c r="AS1549"/>
      <c r="AT1549"/>
      <c r="AU1549"/>
      <c r="AV1549"/>
      <c r="AW1549"/>
      <c r="AX1549"/>
      <c r="AY1549"/>
      <c r="AZ1549"/>
      <c r="BA1549"/>
      <c r="BB1549"/>
      <c r="BC1549"/>
      <c r="BD1549"/>
      <c r="BE1549"/>
      <c r="BF1549"/>
      <c r="BG1549"/>
      <c r="BH1549"/>
      <c r="BI1549"/>
      <c r="BJ1549"/>
      <c r="BK1549"/>
      <c r="BL1549"/>
      <c r="BM1549"/>
      <c r="BN1549"/>
      <c r="BO1549"/>
    </row>
    <row r="1550" spans="3:67" s="1" customFormat="1" hidden="1">
      <c r="C1550" s="14"/>
      <c r="F1550" s="17"/>
      <c r="G1550" s="18"/>
      <c r="T1550" s="9"/>
      <c r="U1550" s="9"/>
      <c r="V1550" s="9"/>
      <c r="AO1550"/>
      <c r="AP1550"/>
      <c r="AQ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/>
      <c r="BN1550"/>
      <c r="BO1550"/>
    </row>
    <row r="1551" spans="3:67" s="1" customFormat="1" hidden="1">
      <c r="C1551" s="14"/>
      <c r="F1551" s="17"/>
      <c r="G1551" s="18"/>
      <c r="T1551" s="9"/>
      <c r="U1551" s="9"/>
      <c r="V1551" s="9"/>
      <c r="AO1551"/>
      <c r="AP1551"/>
      <c r="AQ1551"/>
      <c r="AR1551"/>
      <c r="AS1551"/>
      <c r="AT1551"/>
      <c r="AU1551"/>
      <c r="AV1551"/>
      <c r="AW1551"/>
      <c r="AX1551"/>
      <c r="AY1551"/>
      <c r="AZ1551"/>
      <c r="BA1551"/>
      <c r="BB1551"/>
      <c r="BC1551"/>
      <c r="BD1551"/>
      <c r="BE1551"/>
      <c r="BF1551"/>
      <c r="BG1551"/>
      <c r="BH1551"/>
      <c r="BI1551"/>
      <c r="BJ1551"/>
      <c r="BK1551"/>
      <c r="BL1551"/>
      <c r="BM1551"/>
      <c r="BN1551"/>
      <c r="BO1551"/>
    </row>
    <row r="1552" spans="3:67" s="1" customFormat="1" hidden="1">
      <c r="C1552" s="14"/>
      <c r="F1552" s="17"/>
      <c r="G1552" s="18"/>
      <c r="T1552" s="9"/>
      <c r="U1552" s="9"/>
      <c r="V1552" s="9"/>
      <c r="AO1552"/>
      <c r="AP1552"/>
      <c r="AQ1552"/>
      <c r="AR1552"/>
      <c r="AS1552"/>
      <c r="AT1552"/>
      <c r="AU1552"/>
      <c r="AV1552"/>
      <c r="AW1552"/>
      <c r="AX1552"/>
      <c r="AY1552"/>
      <c r="AZ1552"/>
      <c r="BA1552"/>
      <c r="BB1552"/>
      <c r="BC1552"/>
      <c r="BD1552"/>
      <c r="BE1552"/>
      <c r="BF1552"/>
      <c r="BG1552"/>
      <c r="BH1552"/>
      <c r="BI1552"/>
      <c r="BJ1552"/>
      <c r="BK1552"/>
      <c r="BL1552"/>
      <c r="BM1552"/>
      <c r="BN1552"/>
      <c r="BO1552"/>
    </row>
    <row r="1553" spans="3:67" s="1" customFormat="1" hidden="1">
      <c r="C1553" s="14"/>
      <c r="F1553" s="17"/>
      <c r="G1553" s="18"/>
      <c r="T1553" s="9"/>
      <c r="U1553" s="9"/>
      <c r="V1553" s="9"/>
      <c r="AO1553"/>
      <c r="AP1553"/>
      <c r="AQ1553"/>
      <c r="AR1553"/>
      <c r="AS1553"/>
      <c r="AT1553"/>
      <c r="AU1553"/>
      <c r="AV1553"/>
      <c r="AW1553"/>
      <c r="AX1553"/>
      <c r="AY1553"/>
      <c r="AZ1553"/>
      <c r="BA1553"/>
      <c r="BB1553"/>
      <c r="BC1553"/>
      <c r="BD1553"/>
      <c r="BE1553"/>
      <c r="BF1553"/>
      <c r="BG1553"/>
      <c r="BH1553"/>
      <c r="BI1553"/>
      <c r="BJ1553"/>
      <c r="BK1553"/>
      <c r="BL1553"/>
      <c r="BM1553"/>
      <c r="BN1553"/>
      <c r="BO1553"/>
    </row>
    <row r="1554" spans="3:67" s="1" customFormat="1" hidden="1">
      <c r="C1554" s="14"/>
      <c r="F1554" s="17"/>
      <c r="G1554" s="18"/>
      <c r="T1554" s="9"/>
      <c r="U1554" s="9"/>
      <c r="V1554" s="9"/>
      <c r="AO1554"/>
      <c r="AP1554"/>
      <c r="AQ1554"/>
      <c r="AR1554"/>
      <c r="AS1554"/>
      <c r="AT1554"/>
      <c r="AU1554"/>
      <c r="AV1554"/>
      <c r="AW1554"/>
      <c r="AX1554"/>
      <c r="AY1554"/>
      <c r="AZ1554"/>
      <c r="BA1554"/>
      <c r="BB1554"/>
      <c r="BC1554"/>
      <c r="BD1554"/>
      <c r="BE1554"/>
      <c r="BF1554"/>
      <c r="BG1554"/>
      <c r="BH1554"/>
      <c r="BI1554"/>
      <c r="BJ1554"/>
      <c r="BK1554"/>
      <c r="BL1554"/>
      <c r="BM1554"/>
      <c r="BN1554"/>
      <c r="BO1554"/>
    </row>
    <row r="1555" spans="3:67" s="1" customFormat="1" hidden="1">
      <c r="C1555" s="14"/>
      <c r="F1555" s="17"/>
      <c r="G1555" s="18"/>
      <c r="T1555" s="9"/>
      <c r="U1555" s="9"/>
      <c r="V1555" s="9"/>
      <c r="AO1555"/>
      <c r="AP1555"/>
      <c r="AQ1555"/>
      <c r="AR1555"/>
      <c r="AS1555"/>
      <c r="AT1555"/>
      <c r="AU1555"/>
      <c r="AV1555"/>
      <c r="AW1555"/>
      <c r="AX1555"/>
      <c r="AY1555"/>
      <c r="AZ1555"/>
      <c r="BA1555"/>
      <c r="BB1555"/>
      <c r="BC1555"/>
      <c r="BD1555"/>
      <c r="BE1555"/>
      <c r="BF1555"/>
      <c r="BG1555"/>
      <c r="BH1555"/>
      <c r="BI1555"/>
      <c r="BJ1555"/>
      <c r="BK1555"/>
      <c r="BL1555"/>
      <c r="BM1555"/>
      <c r="BN1555"/>
      <c r="BO1555"/>
    </row>
    <row r="1556" spans="3:67" s="1" customFormat="1" hidden="1">
      <c r="C1556" s="14"/>
      <c r="F1556" s="17"/>
      <c r="G1556" s="18"/>
      <c r="T1556" s="9"/>
      <c r="U1556" s="9"/>
      <c r="V1556" s="9"/>
      <c r="AO1556"/>
      <c r="AP1556"/>
      <c r="AQ1556"/>
      <c r="AR1556"/>
      <c r="AS1556"/>
      <c r="AT1556"/>
      <c r="AU1556"/>
      <c r="AV1556"/>
      <c r="AW1556"/>
      <c r="AX1556"/>
      <c r="AY1556"/>
      <c r="AZ1556"/>
      <c r="BA1556"/>
      <c r="BB1556"/>
      <c r="BC1556"/>
      <c r="BD1556"/>
      <c r="BE1556"/>
      <c r="BF1556"/>
      <c r="BG1556"/>
      <c r="BH1556"/>
      <c r="BI1556"/>
      <c r="BJ1556"/>
      <c r="BK1556"/>
      <c r="BL1556"/>
      <c r="BM1556"/>
      <c r="BN1556"/>
      <c r="BO1556"/>
    </row>
    <row r="1557" spans="3:67" s="1" customFormat="1" hidden="1">
      <c r="C1557" s="14"/>
      <c r="F1557" s="17"/>
      <c r="G1557" s="18"/>
      <c r="T1557" s="9"/>
      <c r="U1557" s="9"/>
      <c r="V1557" s="9"/>
      <c r="AO1557"/>
      <c r="AP1557"/>
      <c r="AQ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/>
      <c r="BN1557"/>
      <c r="BO1557"/>
    </row>
    <row r="1558" spans="3:67" s="1" customFormat="1" hidden="1">
      <c r="C1558" s="14"/>
      <c r="F1558" s="17"/>
      <c r="G1558" s="18"/>
      <c r="T1558" s="9"/>
      <c r="U1558" s="9"/>
      <c r="V1558" s="9"/>
      <c r="AO1558"/>
      <c r="AP1558"/>
      <c r="AQ1558"/>
      <c r="AR1558"/>
      <c r="AS1558"/>
      <c r="AT1558"/>
      <c r="AU1558"/>
      <c r="AV1558"/>
      <c r="AW1558"/>
      <c r="AX1558"/>
      <c r="AY1558"/>
      <c r="AZ1558"/>
      <c r="BA1558"/>
      <c r="BB1558"/>
      <c r="BC1558"/>
      <c r="BD1558"/>
      <c r="BE1558"/>
      <c r="BF1558"/>
      <c r="BG1558"/>
      <c r="BH1558"/>
      <c r="BI1558"/>
      <c r="BJ1558"/>
      <c r="BK1558"/>
      <c r="BL1558"/>
      <c r="BM1558"/>
      <c r="BN1558"/>
      <c r="BO1558"/>
    </row>
    <row r="1559" spans="3:67" s="1" customFormat="1" hidden="1">
      <c r="C1559" s="14"/>
      <c r="F1559" s="17"/>
      <c r="G1559" s="18"/>
      <c r="T1559" s="9"/>
      <c r="U1559" s="9"/>
      <c r="V1559" s="9"/>
      <c r="AO1559"/>
      <c r="AP1559"/>
      <c r="AQ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/>
      <c r="BN1559"/>
      <c r="BO1559"/>
    </row>
    <row r="1560" spans="3:67" s="1" customFormat="1" hidden="1">
      <c r="C1560" s="14"/>
      <c r="F1560" s="17"/>
      <c r="G1560" s="18"/>
      <c r="T1560" s="9"/>
      <c r="U1560" s="9"/>
      <c r="V1560" s="9"/>
      <c r="AO1560"/>
      <c r="AP1560"/>
      <c r="AQ1560"/>
      <c r="AR1560"/>
      <c r="AS1560"/>
      <c r="AT1560"/>
      <c r="AU1560"/>
      <c r="AV1560"/>
      <c r="AW1560"/>
      <c r="AX1560"/>
      <c r="AY1560"/>
      <c r="AZ1560"/>
      <c r="BA1560"/>
      <c r="BB1560"/>
      <c r="BC1560"/>
      <c r="BD1560"/>
      <c r="BE1560"/>
      <c r="BF1560"/>
      <c r="BG1560"/>
      <c r="BH1560"/>
      <c r="BI1560"/>
      <c r="BJ1560"/>
      <c r="BK1560"/>
      <c r="BL1560"/>
      <c r="BM1560"/>
      <c r="BN1560"/>
      <c r="BO1560"/>
    </row>
    <row r="1561" spans="3:67" s="1" customFormat="1" hidden="1">
      <c r="C1561" s="14"/>
      <c r="F1561" s="17"/>
      <c r="G1561" s="18"/>
      <c r="T1561" s="9"/>
      <c r="U1561" s="9"/>
      <c r="V1561" s="9"/>
      <c r="AO1561"/>
      <c r="AP1561"/>
      <c r="AQ1561"/>
      <c r="AR1561"/>
      <c r="AS1561"/>
      <c r="AT1561"/>
      <c r="AU1561"/>
      <c r="AV1561"/>
      <c r="AW1561"/>
      <c r="AX1561"/>
      <c r="AY1561"/>
      <c r="AZ1561"/>
      <c r="BA1561"/>
      <c r="BB1561"/>
      <c r="BC1561"/>
      <c r="BD1561"/>
      <c r="BE1561"/>
      <c r="BF1561"/>
      <c r="BG1561"/>
      <c r="BH1561"/>
      <c r="BI1561"/>
      <c r="BJ1561"/>
      <c r="BK1561"/>
      <c r="BL1561"/>
      <c r="BM1561"/>
      <c r="BN1561"/>
      <c r="BO1561"/>
    </row>
    <row r="1562" spans="3:67" s="1" customFormat="1" hidden="1">
      <c r="C1562" s="14"/>
      <c r="F1562" s="17"/>
      <c r="G1562" s="18"/>
      <c r="T1562" s="9"/>
      <c r="U1562" s="9"/>
      <c r="V1562" s="9"/>
      <c r="AO1562"/>
      <c r="AP1562"/>
      <c r="AQ1562"/>
      <c r="AR1562"/>
      <c r="AS1562"/>
      <c r="AT1562"/>
      <c r="AU1562"/>
      <c r="AV1562"/>
      <c r="AW1562"/>
      <c r="AX1562"/>
      <c r="AY1562"/>
      <c r="AZ1562"/>
      <c r="BA1562"/>
      <c r="BB1562"/>
      <c r="BC1562"/>
      <c r="BD1562"/>
      <c r="BE1562"/>
      <c r="BF1562"/>
      <c r="BG1562"/>
      <c r="BH1562"/>
      <c r="BI1562"/>
      <c r="BJ1562"/>
      <c r="BK1562"/>
      <c r="BL1562"/>
      <c r="BM1562"/>
      <c r="BN1562"/>
      <c r="BO1562"/>
    </row>
    <row r="1563" spans="3:67" s="1" customFormat="1" hidden="1">
      <c r="C1563" s="14"/>
      <c r="F1563" s="17"/>
      <c r="G1563" s="18"/>
      <c r="T1563" s="9"/>
      <c r="U1563" s="9"/>
      <c r="V1563" s="9"/>
      <c r="AO1563"/>
      <c r="AP1563"/>
      <c r="AQ1563"/>
      <c r="AR1563"/>
      <c r="AS1563"/>
      <c r="AT1563"/>
      <c r="AU1563"/>
      <c r="AV1563"/>
      <c r="AW1563"/>
      <c r="AX1563"/>
      <c r="AY1563"/>
      <c r="AZ1563"/>
      <c r="BA1563"/>
      <c r="BB1563"/>
      <c r="BC1563"/>
      <c r="BD1563"/>
      <c r="BE1563"/>
      <c r="BF1563"/>
      <c r="BG1563"/>
      <c r="BH1563"/>
      <c r="BI1563"/>
      <c r="BJ1563"/>
      <c r="BK1563"/>
      <c r="BL1563"/>
      <c r="BM1563"/>
      <c r="BN1563"/>
      <c r="BO1563"/>
    </row>
    <row r="1564" spans="3:67" s="1" customFormat="1" hidden="1">
      <c r="C1564" s="14"/>
      <c r="F1564" s="17"/>
      <c r="G1564" s="18"/>
      <c r="T1564" s="9"/>
      <c r="U1564" s="9"/>
      <c r="V1564" s="9"/>
      <c r="AO1564"/>
      <c r="AP1564"/>
      <c r="AQ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/>
      <c r="BN1564"/>
      <c r="BO1564"/>
    </row>
    <row r="1565" spans="3:67" s="1" customFormat="1" hidden="1">
      <c r="C1565" s="14"/>
      <c r="F1565" s="17"/>
      <c r="G1565" s="18"/>
      <c r="T1565" s="9"/>
      <c r="U1565" s="9"/>
      <c r="V1565" s="9"/>
      <c r="AO1565"/>
      <c r="AP1565"/>
      <c r="AQ1565"/>
      <c r="AR1565"/>
      <c r="AS1565"/>
      <c r="AT1565"/>
      <c r="AU1565"/>
      <c r="AV1565"/>
      <c r="AW1565"/>
      <c r="AX1565"/>
      <c r="AY1565"/>
      <c r="AZ1565"/>
      <c r="BA1565"/>
      <c r="BB1565"/>
      <c r="BC1565"/>
      <c r="BD1565"/>
      <c r="BE1565"/>
      <c r="BF1565"/>
      <c r="BG1565"/>
      <c r="BH1565"/>
      <c r="BI1565"/>
      <c r="BJ1565"/>
      <c r="BK1565"/>
      <c r="BL1565"/>
      <c r="BM1565"/>
      <c r="BN1565"/>
      <c r="BO1565"/>
    </row>
    <row r="1566" spans="3:67" s="1" customFormat="1" hidden="1">
      <c r="C1566" s="14"/>
      <c r="F1566" s="17"/>
      <c r="G1566" s="18"/>
      <c r="T1566" s="9"/>
      <c r="U1566" s="9"/>
      <c r="V1566" s="9"/>
      <c r="AO1566"/>
      <c r="AP1566"/>
      <c r="AQ1566"/>
      <c r="AR1566"/>
      <c r="AS1566"/>
      <c r="AT1566"/>
      <c r="AU1566"/>
      <c r="AV1566"/>
      <c r="AW1566"/>
      <c r="AX1566"/>
      <c r="AY1566"/>
      <c r="AZ1566"/>
      <c r="BA1566"/>
      <c r="BB1566"/>
      <c r="BC1566"/>
      <c r="BD1566"/>
      <c r="BE1566"/>
      <c r="BF1566"/>
      <c r="BG1566"/>
      <c r="BH1566"/>
      <c r="BI1566"/>
      <c r="BJ1566"/>
      <c r="BK1566"/>
      <c r="BL1566"/>
      <c r="BM1566"/>
      <c r="BN1566"/>
      <c r="BO1566"/>
    </row>
    <row r="1567" spans="3:67" s="1" customFormat="1" hidden="1">
      <c r="C1567" s="14"/>
      <c r="F1567" s="17"/>
      <c r="G1567" s="18"/>
      <c r="T1567" s="9"/>
      <c r="U1567" s="9"/>
      <c r="V1567" s="9"/>
      <c r="AO1567"/>
      <c r="AP1567"/>
      <c r="AQ1567"/>
      <c r="AR1567"/>
      <c r="AS1567"/>
      <c r="AT1567"/>
      <c r="AU1567"/>
      <c r="AV1567"/>
      <c r="AW1567"/>
      <c r="AX1567"/>
      <c r="AY1567"/>
      <c r="AZ1567"/>
      <c r="BA1567"/>
      <c r="BB1567"/>
      <c r="BC1567"/>
      <c r="BD1567"/>
      <c r="BE1567"/>
      <c r="BF1567"/>
      <c r="BG1567"/>
      <c r="BH1567"/>
      <c r="BI1567"/>
      <c r="BJ1567"/>
      <c r="BK1567"/>
      <c r="BL1567"/>
      <c r="BM1567"/>
      <c r="BN1567"/>
      <c r="BO1567"/>
    </row>
    <row r="1568" spans="3:67" s="1" customFormat="1" hidden="1">
      <c r="C1568" s="14"/>
      <c r="F1568" s="17"/>
      <c r="G1568" s="18"/>
      <c r="T1568" s="9"/>
      <c r="U1568" s="9"/>
      <c r="V1568" s="9"/>
      <c r="AO1568"/>
      <c r="AP1568"/>
      <c r="AQ1568"/>
      <c r="AR1568"/>
      <c r="AS1568"/>
      <c r="AT1568"/>
      <c r="AU1568"/>
      <c r="AV1568"/>
      <c r="AW1568"/>
      <c r="AX1568"/>
      <c r="AY1568"/>
      <c r="AZ1568"/>
      <c r="BA1568"/>
      <c r="BB1568"/>
      <c r="BC1568"/>
      <c r="BD1568"/>
      <c r="BE1568"/>
      <c r="BF1568"/>
      <c r="BG1568"/>
      <c r="BH1568"/>
      <c r="BI1568"/>
      <c r="BJ1568"/>
      <c r="BK1568"/>
      <c r="BL1568"/>
      <c r="BM1568"/>
      <c r="BN1568"/>
      <c r="BO1568"/>
    </row>
    <row r="1569" spans="3:67" s="1" customFormat="1" hidden="1">
      <c r="C1569" s="14"/>
      <c r="F1569" s="17"/>
      <c r="G1569" s="18"/>
      <c r="T1569" s="9"/>
      <c r="U1569" s="9"/>
      <c r="V1569" s="9"/>
      <c r="AO1569"/>
      <c r="AP1569"/>
      <c r="AQ1569"/>
      <c r="AR1569"/>
      <c r="AS1569"/>
      <c r="AT1569"/>
      <c r="AU1569"/>
      <c r="AV1569"/>
      <c r="AW1569"/>
      <c r="AX1569"/>
      <c r="AY1569"/>
      <c r="AZ1569"/>
      <c r="BA1569"/>
      <c r="BB1569"/>
      <c r="BC1569"/>
      <c r="BD1569"/>
      <c r="BE1569"/>
      <c r="BF1569"/>
      <c r="BG1569"/>
      <c r="BH1569"/>
      <c r="BI1569"/>
      <c r="BJ1569"/>
      <c r="BK1569"/>
      <c r="BL1569"/>
      <c r="BM1569"/>
      <c r="BN1569"/>
      <c r="BO1569"/>
    </row>
    <row r="1570" spans="3:67" s="1" customFormat="1" hidden="1">
      <c r="C1570" s="14"/>
      <c r="F1570" s="17"/>
      <c r="G1570" s="18"/>
      <c r="T1570" s="9"/>
      <c r="U1570" s="9"/>
      <c r="V1570" s="9"/>
      <c r="AO1570"/>
      <c r="AP1570"/>
      <c r="AQ1570"/>
      <c r="AR1570"/>
      <c r="AS1570"/>
      <c r="AT1570"/>
      <c r="AU1570"/>
      <c r="AV1570"/>
      <c r="AW1570"/>
      <c r="AX1570"/>
      <c r="AY1570"/>
      <c r="AZ1570"/>
      <c r="BA1570"/>
      <c r="BB1570"/>
      <c r="BC1570"/>
      <c r="BD1570"/>
      <c r="BE1570"/>
      <c r="BF1570"/>
      <c r="BG1570"/>
      <c r="BH1570"/>
      <c r="BI1570"/>
      <c r="BJ1570"/>
      <c r="BK1570"/>
      <c r="BL1570"/>
      <c r="BM1570"/>
      <c r="BN1570"/>
      <c r="BO1570"/>
    </row>
    <row r="1571" spans="3:67" s="1" customFormat="1" hidden="1">
      <c r="C1571" s="14"/>
      <c r="F1571" s="17"/>
      <c r="G1571" s="18"/>
      <c r="T1571" s="9"/>
      <c r="U1571" s="9"/>
      <c r="V1571" s="9"/>
      <c r="AO1571"/>
      <c r="AP1571"/>
      <c r="AQ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/>
      <c r="BN1571"/>
      <c r="BO1571"/>
    </row>
    <row r="1572" spans="3:67" s="1" customFormat="1" hidden="1">
      <c r="C1572" s="14"/>
      <c r="F1572" s="17"/>
      <c r="G1572" s="18"/>
      <c r="T1572" s="9"/>
      <c r="U1572" s="9"/>
      <c r="V1572" s="9"/>
      <c r="AO1572"/>
      <c r="AP1572"/>
      <c r="AQ1572"/>
      <c r="AR1572"/>
      <c r="AS1572"/>
      <c r="AT1572"/>
      <c r="AU1572"/>
      <c r="AV1572"/>
      <c r="AW1572"/>
      <c r="AX1572"/>
      <c r="AY1572"/>
      <c r="AZ1572"/>
      <c r="BA1572"/>
      <c r="BB1572"/>
      <c r="BC1572"/>
      <c r="BD1572"/>
      <c r="BE1572"/>
      <c r="BF1572"/>
      <c r="BG1572"/>
      <c r="BH1572"/>
      <c r="BI1572"/>
      <c r="BJ1572"/>
      <c r="BK1572"/>
      <c r="BL1572"/>
      <c r="BM1572"/>
      <c r="BN1572"/>
      <c r="BO1572"/>
    </row>
    <row r="1573" spans="3:67" s="1" customFormat="1" hidden="1">
      <c r="C1573" s="14"/>
      <c r="F1573" s="17"/>
      <c r="G1573" s="18"/>
      <c r="T1573" s="9"/>
      <c r="U1573" s="9"/>
      <c r="V1573" s="9"/>
      <c r="AO1573"/>
      <c r="AP1573"/>
      <c r="AQ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</row>
    <row r="1574" spans="3:67" s="1" customFormat="1" hidden="1">
      <c r="C1574" s="14"/>
      <c r="F1574" s="17"/>
      <c r="G1574" s="18"/>
      <c r="T1574" s="9"/>
      <c r="U1574" s="9"/>
      <c r="V1574" s="9"/>
      <c r="AO1574"/>
      <c r="AP1574"/>
      <c r="AQ1574"/>
      <c r="AR1574"/>
      <c r="AS1574"/>
      <c r="AT1574"/>
      <c r="AU1574"/>
      <c r="AV1574"/>
      <c r="AW1574"/>
      <c r="AX1574"/>
      <c r="AY1574"/>
      <c r="AZ1574"/>
      <c r="BA1574"/>
      <c r="BB1574"/>
      <c r="BC1574"/>
      <c r="BD1574"/>
      <c r="BE1574"/>
      <c r="BF1574"/>
      <c r="BG1574"/>
      <c r="BH1574"/>
      <c r="BI1574"/>
      <c r="BJ1574"/>
      <c r="BK1574"/>
      <c r="BL1574"/>
      <c r="BM1574"/>
      <c r="BN1574"/>
      <c r="BO1574"/>
    </row>
    <row r="1575" spans="3:67" s="1" customFormat="1" hidden="1">
      <c r="C1575" s="14"/>
      <c r="F1575" s="17"/>
      <c r="G1575" s="18"/>
      <c r="T1575" s="9"/>
      <c r="U1575" s="9"/>
      <c r="V1575" s="9"/>
      <c r="AO1575"/>
      <c r="AP1575"/>
      <c r="AQ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</row>
    <row r="1576" spans="3:67" s="1" customFormat="1" hidden="1">
      <c r="C1576" s="14"/>
      <c r="F1576" s="17"/>
      <c r="G1576" s="18"/>
      <c r="T1576" s="9"/>
      <c r="U1576" s="9"/>
      <c r="V1576" s="9"/>
      <c r="AO1576"/>
      <c r="AP1576"/>
      <c r="AQ1576"/>
      <c r="AR1576"/>
      <c r="AS1576"/>
      <c r="AT1576"/>
      <c r="AU1576"/>
      <c r="AV1576"/>
      <c r="AW1576"/>
      <c r="AX1576"/>
      <c r="AY1576"/>
      <c r="AZ1576"/>
      <c r="BA1576"/>
      <c r="BB1576"/>
      <c r="BC1576"/>
      <c r="BD1576"/>
      <c r="BE1576"/>
      <c r="BF1576"/>
      <c r="BG1576"/>
      <c r="BH1576"/>
      <c r="BI1576"/>
      <c r="BJ1576"/>
      <c r="BK1576"/>
      <c r="BL1576"/>
      <c r="BM1576"/>
      <c r="BN1576"/>
      <c r="BO1576"/>
    </row>
    <row r="1577" spans="3:67" s="1" customFormat="1" hidden="1">
      <c r="C1577" s="14"/>
      <c r="F1577" s="17"/>
      <c r="G1577" s="18"/>
      <c r="T1577" s="9"/>
      <c r="U1577" s="9"/>
      <c r="V1577" s="9"/>
      <c r="AO1577"/>
      <c r="AP1577"/>
      <c r="AQ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/>
      <c r="BN1577"/>
      <c r="BO1577"/>
    </row>
    <row r="1578" spans="3:67" s="1" customFormat="1" hidden="1">
      <c r="C1578" s="14"/>
      <c r="F1578" s="17"/>
      <c r="G1578" s="18"/>
      <c r="T1578" s="9"/>
      <c r="U1578" s="9"/>
      <c r="V1578" s="9"/>
      <c r="AO1578"/>
      <c r="AP1578"/>
      <c r="AQ1578"/>
      <c r="AR1578"/>
      <c r="AS1578"/>
      <c r="AT1578"/>
      <c r="AU1578"/>
      <c r="AV1578"/>
      <c r="AW1578"/>
      <c r="AX1578"/>
      <c r="AY1578"/>
      <c r="AZ1578"/>
      <c r="BA1578"/>
      <c r="BB1578"/>
      <c r="BC1578"/>
      <c r="BD1578"/>
      <c r="BE1578"/>
      <c r="BF1578"/>
      <c r="BG1578"/>
      <c r="BH1578"/>
      <c r="BI1578"/>
      <c r="BJ1578"/>
      <c r="BK1578"/>
      <c r="BL1578"/>
      <c r="BM1578"/>
      <c r="BN1578"/>
      <c r="BO1578"/>
    </row>
    <row r="1579" spans="3:67" s="1" customFormat="1" hidden="1">
      <c r="C1579" s="14"/>
      <c r="F1579" s="17"/>
      <c r="G1579" s="18"/>
      <c r="T1579" s="9"/>
      <c r="U1579" s="9"/>
      <c r="V1579" s="9"/>
      <c r="AO1579"/>
      <c r="AP1579"/>
      <c r="AQ1579"/>
      <c r="AR1579"/>
      <c r="AS1579"/>
      <c r="AT1579"/>
      <c r="AU1579"/>
      <c r="AV1579"/>
      <c r="AW1579"/>
      <c r="AX1579"/>
      <c r="AY1579"/>
      <c r="AZ1579"/>
      <c r="BA1579"/>
      <c r="BB1579"/>
      <c r="BC1579"/>
      <c r="BD1579"/>
      <c r="BE1579"/>
      <c r="BF1579"/>
      <c r="BG1579"/>
      <c r="BH1579"/>
      <c r="BI1579"/>
      <c r="BJ1579"/>
      <c r="BK1579"/>
      <c r="BL1579"/>
      <c r="BM1579"/>
      <c r="BN1579"/>
      <c r="BO1579"/>
    </row>
    <row r="1580" spans="3:67" s="1" customFormat="1" hidden="1">
      <c r="C1580" s="14"/>
      <c r="F1580" s="17"/>
      <c r="G1580" s="18"/>
      <c r="T1580" s="9"/>
      <c r="U1580" s="9"/>
      <c r="V1580" s="9"/>
      <c r="AO1580"/>
      <c r="AP1580"/>
      <c r="AQ1580"/>
      <c r="AR1580"/>
      <c r="AS1580"/>
      <c r="AT1580"/>
      <c r="AU1580"/>
      <c r="AV1580"/>
      <c r="AW1580"/>
      <c r="AX1580"/>
      <c r="AY1580"/>
      <c r="AZ1580"/>
      <c r="BA1580"/>
      <c r="BB1580"/>
      <c r="BC1580"/>
      <c r="BD1580"/>
      <c r="BE1580"/>
      <c r="BF1580"/>
      <c r="BG1580"/>
      <c r="BH1580"/>
      <c r="BI1580"/>
      <c r="BJ1580"/>
      <c r="BK1580"/>
      <c r="BL1580"/>
      <c r="BM1580"/>
      <c r="BN1580"/>
      <c r="BO1580"/>
    </row>
    <row r="1581" spans="3:67" s="1" customFormat="1" hidden="1">
      <c r="C1581" s="14"/>
      <c r="F1581" s="17"/>
      <c r="G1581" s="18"/>
      <c r="T1581" s="9"/>
      <c r="U1581" s="9"/>
      <c r="V1581" s="9"/>
      <c r="AO1581"/>
      <c r="AP1581"/>
      <c r="AQ1581"/>
      <c r="AR1581"/>
      <c r="AS1581"/>
      <c r="AT1581"/>
      <c r="AU1581"/>
      <c r="AV1581"/>
      <c r="AW1581"/>
      <c r="AX1581"/>
      <c r="AY1581"/>
      <c r="AZ1581"/>
      <c r="BA1581"/>
      <c r="BB1581"/>
      <c r="BC1581"/>
      <c r="BD1581"/>
      <c r="BE1581"/>
      <c r="BF1581"/>
      <c r="BG1581"/>
      <c r="BH1581"/>
      <c r="BI1581"/>
      <c r="BJ1581"/>
      <c r="BK1581"/>
      <c r="BL1581"/>
      <c r="BM1581"/>
      <c r="BN1581"/>
      <c r="BO1581"/>
    </row>
    <row r="1582" spans="3:67" s="1" customFormat="1" hidden="1">
      <c r="C1582" s="14"/>
      <c r="F1582" s="17"/>
      <c r="G1582" s="18"/>
      <c r="T1582" s="9"/>
      <c r="U1582" s="9"/>
      <c r="V1582" s="9"/>
      <c r="AO1582"/>
      <c r="AP1582"/>
      <c r="AQ1582"/>
      <c r="AR1582"/>
      <c r="AS1582"/>
      <c r="AT1582"/>
      <c r="AU1582"/>
      <c r="AV1582"/>
      <c r="AW1582"/>
      <c r="AX1582"/>
      <c r="AY1582"/>
      <c r="AZ1582"/>
      <c r="BA1582"/>
      <c r="BB1582"/>
      <c r="BC1582"/>
      <c r="BD1582"/>
      <c r="BE1582"/>
      <c r="BF1582"/>
      <c r="BG1582"/>
      <c r="BH1582"/>
      <c r="BI1582"/>
      <c r="BJ1582"/>
      <c r="BK1582"/>
      <c r="BL1582"/>
      <c r="BM1582"/>
      <c r="BN1582"/>
      <c r="BO1582"/>
    </row>
    <row r="1583" spans="3:67" s="1" customFormat="1" hidden="1">
      <c r="C1583" s="14"/>
      <c r="F1583" s="17"/>
      <c r="G1583" s="18"/>
      <c r="T1583" s="9"/>
      <c r="U1583" s="9"/>
      <c r="V1583" s="9"/>
      <c r="AO1583"/>
      <c r="AP1583"/>
      <c r="AQ1583"/>
      <c r="AR1583"/>
      <c r="AS1583"/>
      <c r="AT1583"/>
      <c r="AU1583"/>
      <c r="AV1583"/>
      <c r="AW1583"/>
      <c r="AX1583"/>
      <c r="AY1583"/>
      <c r="AZ1583"/>
      <c r="BA1583"/>
      <c r="BB1583"/>
      <c r="BC1583"/>
      <c r="BD1583"/>
      <c r="BE1583"/>
      <c r="BF1583"/>
      <c r="BG1583"/>
      <c r="BH1583"/>
      <c r="BI1583"/>
      <c r="BJ1583"/>
      <c r="BK1583"/>
      <c r="BL1583"/>
      <c r="BM1583"/>
      <c r="BN1583"/>
      <c r="BO1583"/>
    </row>
    <row r="1584" spans="3:67" s="1" customFormat="1" hidden="1">
      <c r="C1584" s="14"/>
      <c r="F1584" s="17"/>
      <c r="G1584" s="18"/>
      <c r="T1584" s="9"/>
      <c r="U1584" s="9"/>
      <c r="V1584" s="9"/>
      <c r="AO1584"/>
      <c r="AP1584"/>
      <c r="AQ1584"/>
      <c r="AR1584"/>
      <c r="AS1584"/>
      <c r="AT1584"/>
      <c r="AU1584"/>
      <c r="AV1584"/>
      <c r="AW1584"/>
      <c r="AX1584"/>
      <c r="AY1584"/>
      <c r="AZ1584"/>
      <c r="BA1584"/>
      <c r="BB1584"/>
      <c r="BC1584"/>
      <c r="BD1584"/>
      <c r="BE1584"/>
      <c r="BF1584"/>
      <c r="BG1584"/>
      <c r="BH1584"/>
      <c r="BI1584"/>
      <c r="BJ1584"/>
      <c r="BK1584"/>
      <c r="BL1584"/>
      <c r="BM1584"/>
      <c r="BN1584"/>
      <c r="BO1584"/>
    </row>
    <row r="1585" spans="3:67" s="1" customFormat="1" hidden="1">
      <c r="C1585" s="14"/>
      <c r="F1585" s="17"/>
      <c r="G1585" s="18"/>
      <c r="T1585" s="9"/>
      <c r="U1585" s="9"/>
      <c r="V1585" s="9"/>
      <c r="AO1585"/>
      <c r="AP1585"/>
      <c r="AQ1585"/>
      <c r="AR1585"/>
      <c r="AS1585"/>
      <c r="AT1585"/>
      <c r="AU1585"/>
      <c r="AV1585"/>
      <c r="AW1585"/>
      <c r="AX1585"/>
      <c r="AY1585"/>
      <c r="AZ1585"/>
      <c r="BA1585"/>
      <c r="BB1585"/>
      <c r="BC1585"/>
      <c r="BD1585"/>
      <c r="BE1585"/>
      <c r="BF1585"/>
      <c r="BG1585"/>
      <c r="BH1585"/>
      <c r="BI1585"/>
      <c r="BJ1585"/>
      <c r="BK1585"/>
      <c r="BL1585"/>
      <c r="BM1585"/>
      <c r="BN1585"/>
      <c r="BO1585"/>
    </row>
    <row r="1586" spans="3:67" s="1" customFormat="1" hidden="1">
      <c r="C1586" s="14"/>
      <c r="F1586" s="17"/>
      <c r="G1586" s="18"/>
      <c r="T1586" s="9"/>
      <c r="U1586" s="9"/>
      <c r="V1586" s="9"/>
      <c r="AO1586"/>
      <c r="AP1586"/>
      <c r="AQ1586"/>
      <c r="AR1586"/>
      <c r="AS1586"/>
      <c r="AT1586"/>
      <c r="AU1586"/>
      <c r="AV1586"/>
      <c r="AW1586"/>
      <c r="AX1586"/>
      <c r="AY1586"/>
      <c r="AZ1586"/>
      <c r="BA1586"/>
      <c r="BB1586"/>
      <c r="BC1586"/>
      <c r="BD1586"/>
      <c r="BE1586"/>
      <c r="BF1586"/>
      <c r="BG1586"/>
      <c r="BH1586"/>
      <c r="BI1586"/>
      <c r="BJ1586"/>
      <c r="BK1586"/>
      <c r="BL1586"/>
      <c r="BM1586"/>
      <c r="BN1586"/>
      <c r="BO1586"/>
    </row>
    <row r="1587" spans="3:67" s="1" customFormat="1" hidden="1">
      <c r="C1587" s="14"/>
      <c r="F1587" s="17"/>
      <c r="G1587" s="18"/>
      <c r="T1587" s="9"/>
      <c r="U1587" s="9"/>
      <c r="V1587" s="9"/>
      <c r="AO1587"/>
      <c r="AP1587"/>
      <c r="AQ1587"/>
      <c r="AR1587"/>
      <c r="AS1587"/>
      <c r="AT1587"/>
      <c r="AU1587"/>
      <c r="AV1587"/>
      <c r="AW1587"/>
      <c r="AX1587"/>
      <c r="AY1587"/>
      <c r="AZ1587"/>
      <c r="BA1587"/>
      <c r="BB1587"/>
      <c r="BC1587"/>
      <c r="BD1587"/>
      <c r="BE1587"/>
      <c r="BF1587"/>
      <c r="BG1587"/>
      <c r="BH1587"/>
      <c r="BI1587"/>
      <c r="BJ1587"/>
      <c r="BK1587"/>
      <c r="BL1587"/>
      <c r="BM1587"/>
      <c r="BN1587"/>
      <c r="BO1587"/>
    </row>
    <row r="1588" spans="3:67" s="1" customFormat="1" hidden="1">
      <c r="C1588" s="14"/>
      <c r="F1588" s="17"/>
      <c r="G1588" s="18"/>
      <c r="T1588" s="9"/>
      <c r="U1588" s="9"/>
      <c r="V1588" s="9"/>
      <c r="AO1588"/>
      <c r="AP1588"/>
      <c r="AQ1588"/>
      <c r="AR1588"/>
      <c r="AS1588"/>
      <c r="AT1588"/>
      <c r="AU1588"/>
      <c r="AV1588"/>
      <c r="AW1588"/>
      <c r="AX1588"/>
      <c r="AY1588"/>
      <c r="AZ1588"/>
      <c r="BA1588"/>
      <c r="BB1588"/>
      <c r="BC1588"/>
      <c r="BD1588"/>
      <c r="BE1588"/>
      <c r="BF1588"/>
      <c r="BG1588"/>
      <c r="BH1588"/>
      <c r="BI1588"/>
      <c r="BJ1588"/>
      <c r="BK1588"/>
      <c r="BL1588"/>
      <c r="BM1588"/>
      <c r="BN1588"/>
      <c r="BO1588"/>
    </row>
    <row r="1589" spans="3:67" s="1" customFormat="1" hidden="1">
      <c r="C1589" s="14"/>
      <c r="F1589" s="17"/>
      <c r="G1589" s="18"/>
      <c r="T1589" s="9"/>
      <c r="U1589" s="9"/>
      <c r="V1589" s="9"/>
      <c r="AO1589"/>
      <c r="AP1589"/>
      <c r="AQ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</row>
    <row r="1590" spans="3:67" s="1" customFormat="1" hidden="1">
      <c r="C1590" s="14"/>
      <c r="F1590" s="17"/>
      <c r="G1590" s="18"/>
      <c r="T1590" s="9"/>
      <c r="U1590" s="9"/>
      <c r="V1590" s="9"/>
      <c r="AO1590"/>
      <c r="AP1590"/>
      <c r="AQ1590"/>
      <c r="AR1590"/>
      <c r="AS1590"/>
      <c r="AT1590"/>
      <c r="AU1590"/>
      <c r="AV1590"/>
      <c r="AW1590"/>
      <c r="AX1590"/>
      <c r="AY1590"/>
      <c r="AZ1590"/>
      <c r="BA1590"/>
      <c r="BB1590"/>
      <c r="BC1590"/>
      <c r="BD1590"/>
      <c r="BE1590"/>
      <c r="BF1590"/>
      <c r="BG1590"/>
      <c r="BH1590"/>
      <c r="BI1590"/>
      <c r="BJ1590"/>
      <c r="BK1590"/>
      <c r="BL1590"/>
      <c r="BM1590"/>
      <c r="BN1590"/>
      <c r="BO1590"/>
    </row>
    <row r="1591" spans="3:67" s="1" customFormat="1" hidden="1">
      <c r="C1591" s="14"/>
      <c r="F1591" s="17"/>
      <c r="G1591" s="18"/>
      <c r="T1591" s="9"/>
      <c r="U1591" s="9"/>
      <c r="V1591" s="9"/>
      <c r="AO1591"/>
      <c r="AP1591"/>
      <c r="AQ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/>
      <c r="BN1591"/>
      <c r="BO1591"/>
    </row>
    <row r="1592" spans="3:67" s="1" customFormat="1" hidden="1">
      <c r="C1592" s="14"/>
      <c r="F1592" s="17"/>
      <c r="G1592" s="18"/>
      <c r="T1592" s="9"/>
      <c r="U1592" s="9"/>
      <c r="V1592" s="9"/>
      <c r="AO1592"/>
      <c r="AP1592"/>
      <c r="AQ1592"/>
      <c r="AR1592"/>
      <c r="AS1592"/>
      <c r="AT1592"/>
      <c r="AU1592"/>
      <c r="AV1592"/>
      <c r="AW1592"/>
      <c r="AX1592"/>
      <c r="AY1592"/>
      <c r="AZ1592"/>
      <c r="BA1592"/>
      <c r="BB1592"/>
      <c r="BC1592"/>
      <c r="BD1592"/>
      <c r="BE1592"/>
      <c r="BF1592"/>
      <c r="BG1592"/>
      <c r="BH1592"/>
      <c r="BI1592"/>
      <c r="BJ1592"/>
      <c r="BK1592"/>
      <c r="BL1592"/>
      <c r="BM1592"/>
      <c r="BN1592"/>
      <c r="BO1592"/>
    </row>
    <row r="1593" spans="3:67" s="1" customFormat="1" hidden="1">
      <c r="C1593" s="14"/>
      <c r="F1593" s="17"/>
      <c r="G1593" s="18"/>
      <c r="T1593" s="9"/>
      <c r="U1593" s="9"/>
      <c r="V1593" s="9"/>
      <c r="AO1593"/>
      <c r="AP1593"/>
      <c r="AQ1593"/>
      <c r="AR1593"/>
      <c r="AS1593"/>
      <c r="AT1593"/>
      <c r="AU1593"/>
      <c r="AV1593"/>
      <c r="AW1593"/>
      <c r="AX1593"/>
      <c r="AY1593"/>
      <c r="AZ1593"/>
      <c r="BA1593"/>
      <c r="BB1593"/>
      <c r="BC1593"/>
      <c r="BD1593"/>
      <c r="BE1593"/>
      <c r="BF1593"/>
      <c r="BG1593"/>
      <c r="BH1593"/>
      <c r="BI1593"/>
      <c r="BJ1593"/>
      <c r="BK1593"/>
      <c r="BL1593"/>
      <c r="BM1593"/>
      <c r="BN1593"/>
      <c r="BO1593"/>
    </row>
    <row r="1594" spans="3:67" s="1" customFormat="1" hidden="1">
      <c r="C1594" s="14"/>
      <c r="F1594" s="17"/>
      <c r="G1594" s="18"/>
      <c r="T1594" s="9"/>
      <c r="U1594" s="9"/>
      <c r="V1594" s="9"/>
      <c r="AO1594"/>
      <c r="AP1594"/>
      <c r="AQ1594"/>
      <c r="AR1594"/>
      <c r="AS1594"/>
      <c r="AT1594"/>
      <c r="AU1594"/>
      <c r="AV1594"/>
      <c r="AW1594"/>
      <c r="AX1594"/>
      <c r="AY1594"/>
      <c r="AZ1594"/>
      <c r="BA1594"/>
      <c r="BB1594"/>
      <c r="BC1594"/>
      <c r="BD1594"/>
      <c r="BE1594"/>
      <c r="BF1594"/>
      <c r="BG1594"/>
      <c r="BH1594"/>
      <c r="BI1594"/>
      <c r="BJ1594"/>
      <c r="BK1594"/>
      <c r="BL1594"/>
      <c r="BM1594"/>
      <c r="BN1594"/>
      <c r="BO1594"/>
    </row>
    <row r="1595" spans="3:67" s="1" customFormat="1" hidden="1">
      <c r="C1595" s="14"/>
      <c r="F1595" s="17"/>
      <c r="G1595" s="18"/>
      <c r="T1595" s="9"/>
      <c r="U1595" s="9"/>
      <c r="V1595" s="9"/>
      <c r="AO1595"/>
      <c r="AP1595"/>
      <c r="AQ1595"/>
      <c r="AR1595"/>
      <c r="AS1595"/>
      <c r="AT1595"/>
      <c r="AU1595"/>
      <c r="AV1595"/>
      <c r="AW1595"/>
      <c r="AX1595"/>
      <c r="AY1595"/>
      <c r="AZ1595"/>
      <c r="BA1595"/>
      <c r="BB1595"/>
      <c r="BC1595"/>
      <c r="BD1595"/>
      <c r="BE1595"/>
      <c r="BF1595"/>
      <c r="BG1595"/>
      <c r="BH1595"/>
      <c r="BI1595"/>
      <c r="BJ1595"/>
      <c r="BK1595"/>
      <c r="BL1595"/>
      <c r="BM1595"/>
      <c r="BN1595"/>
      <c r="BO1595"/>
    </row>
    <row r="1596" spans="3:67" s="1" customFormat="1" hidden="1">
      <c r="C1596" s="14"/>
      <c r="F1596" s="17"/>
      <c r="G1596" s="18"/>
      <c r="T1596" s="9"/>
      <c r="U1596" s="9"/>
      <c r="V1596" s="9"/>
      <c r="AO1596"/>
      <c r="AP1596"/>
      <c r="AQ1596"/>
      <c r="AR1596"/>
      <c r="AS1596"/>
      <c r="AT1596"/>
      <c r="AU1596"/>
      <c r="AV1596"/>
      <c r="AW1596"/>
      <c r="AX1596"/>
      <c r="AY1596"/>
      <c r="AZ1596"/>
      <c r="BA1596"/>
      <c r="BB1596"/>
      <c r="BC1596"/>
      <c r="BD1596"/>
      <c r="BE1596"/>
      <c r="BF1596"/>
      <c r="BG1596"/>
      <c r="BH1596"/>
      <c r="BI1596"/>
      <c r="BJ1596"/>
      <c r="BK1596"/>
      <c r="BL1596"/>
      <c r="BM1596"/>
      <c r="BN1596"/>
      <c r="BO1596"/>
    </row>
    <row r="1597" spans="3:67" s="1" customFormat="1" hidden="1">
      <c r="C1597" s="14"/>
      <c r="F1597" s="17"/>
      <c r="G1597" s="18"/>
      <c r="T1597" s="9"/>
      <c r="U1597" s="9"/>
      <c r="V1597" s="9"/>
      <c r="AO1597"/>
      <c r="AP1597"/>
      <c r="AQ1597"/>
      <c r="AR1597"/>
      <c r="AS1597"/>
      <c r="AT1597"/>
      <c r="AU1597"/>
      <c r="AV1597"/>
      <c r="AW1597"/>
      <c r="AX1597"/>
      <c r="AY1597"/>
      <c r="AZ1597"/>
      <c r="BA1597"/>
      <c r="BB1597"/>
      <c r="BC1597"/>
      <c r="BD1597"/>
      <c r="BE1597"/>
      <c r="BF1597"/>
      <c r="BG1597"/>
      <c r="BH1597"/>
      <c r="BI1597"/>
      <c r="BJ1597"/>
      <c r="BK1597"/>
      <c r="BL1597"/>
      <c r="BM1597"/>
      <c r="BN1597"/>
      <c r="BO1597"/>
    </row>
    <row r="1598" spans="3:67" s="1" customFormat="1" hidden="1">
      <c r="C1598" s="14"/>
      <c r="F1598" s="17"/>
      <c r="G1598" s="18"/>
      <c r="T1598" s="9"/>
      <c r="U1598" s="9"/>
      <c r="V1598" s="9"/>
      <c r="AO1598"/>
      <c r="AP1598"/>
      <c r="AQ1598"/>
      <c r="AR1598"/>
      <c r="AS1598"/>
      <c r="AT1598"/>
      <c r="AU1598"/>
      <c r="AV1598"/>
      <c r="AW1598"/>
      <c r="AX1598"/>
      <c r="AY1598"/>
      <c r="AZ1598"/>
      <c r="BA1598"/>
      <c r="BB1598"/>
      <c r="BC1598"/>
      <c r="BD1598"/>
      <c r="BE1598"/>
      <c r="BF1598"/>
      <c r="BG1598"/>
      <c r="BH1598"/>
      <c r="BI1598"/>
      <c r="BJ1598"/>
      <c r="BK1598"/>
      <c r="BL1598"/>
      <c r="BM1598"/>
      <c r="BN1598"/>
      <c r="BO1598"/>
    </row>
    <row r="1599" spans="3:67" s="1" customFormat="1" hidden="1">
      <c r="C1599" s="14"/>
      <c r="F1599" s="17"/>
      <c r="G1599" s="18"/>
      <c r="T1599" s="9"/>
      <c r="U1599" s="9"/>
      <c r="V1599" s="9"/>
      <c r="AO1599"/>
      <c r="AP1599"/>
      <c r="AQ1599"/>
      <c r="AR1599"/>
      <c r="AS1599"/>
      <c r="AT1599"/>
      <c r="AU1599"/>
      <c r="AV1599"/>
      <c r="AW1599"/>
      <c r="AX1599"/>
      <c r="AY1599"/>
      <c r="AZ1599"/>
      <c r="BA1599"/>
      <c r="BB1599"/>
      <c r="BC1599"/>
      <c r="BD1599"/>
      <c r="BE1599"/>
      <c r="BF1599"/>
      <c r="BG1599"/>
      <c r="BH1599"/>
      <c r="BI1599"/>
      <c r="BJ1599"/>
      <c r="BK1599"/>
      <c r="BL1599"/>
      <c r="BM1599"/>
      <c r="BN1599"/>
      <c r="BO1599"/>
    </row>
    <row r="1600" spans="3:67" s="1" customFormat="1" hidden="1">
      <c r="C1600" s="14"/>
      <c r="F1600" s="17"/>
      <c r="G1600" s="18"/>
      <c r="T1600" s="9"/>
      <c r="U1600" s="9"/>
      <c r="V1600" s="9"/>
      <c r="AO1600"/>
      <c r="AP1600"/>
      <c r="AQ1600"/>
      <c r="AR1600"/>
      <c r="AS1600"/>
      <c r="AT1600"/>
      <c r="AU1600"/>
      <c r="AV1600"/>
      <c r="AW1600"/>
      <c r="AX1600"/>
      <c r="AY1600"/>
      <c r="AZ1600"/>
      <c r="BA1600"/>
      <c r="BB1600"/>
      <c r="BC1600"/>
      <c r="BD1600"/>
      <c r="BE1600"/>
      <c r="BF1600"/>
      <c r="BG1600"/>
      <c r="BH1600"/>
      <c r="BI1600"/>
      <c r="BJ1600"/>
      <c r="BK1600"/>
      <c r="BL1600"/>
      <c r="BM1600"/>
      <c r="BN1600"/>
      <c r="BO1600"/>
    </row>
    <row r="1601" spans="3:67" s="1" customFormat="1" hidden="1">
      <c r="C1601" s="14"/>
      <c r="F1601" s="17"/>
      <c r="G1601" s="18"/>
      <c r="T1601" s="9"/>
      <c r="U1601" s="9"/>
      <c r="V1601" s="9"/>
      <c r="AO1601"/>
      <c r="AP1601"/>
      <c r="AQ1601"/>
      <c r="AR1601"/>
      <c r="AS1601"/>
      <c r="AT1601"/>
      <c r="AU1601"/>
      <c r="AV1601"/>
      <c r="AW1601"/>
      <c r="AX1601"/>
      <c r="AY1601"/>
      <c r="AZ1601"/>
      <c r="BA1601"/>
      <c r="BB1601"/>
      <c r="BC1601"/>
      <c r="BD1601"/>
      <c r="BE1601"/>
      <c r="BF1601"/>
      <c r="BG1601"/>
      <c r="BH1601"/>
      <c r="BI1601"/>
      <c r="BJ1601"/>
      <c r="BK1601"/>
      <c r="BL1601"/>
      <c r="BM1601"/>
      <c r="BN1601"/>
      <c r="BO1601"/>
    </row>
    <row r="1602" spans="3:67" s="1" customFormat="1" hidden="1">
      <c r="C1602" s="14"/>
      <c r="F1602" s="17"/>
      <c r="G1602" s="18"/>
      <c r="T1602" s="9"/>
      <c r="U1602" s="9"/>
      <c r="V1602" s="9"/>
      <c r="AO1602"/>
      <c r="AP1602"/>
      <c r="AQ1602"/>
      <c r="AR1602"/>
      <c r="AS1602"/>
      <c r="AT1602"/>
      <c r="AU1602"/>
      <c r="AV1602"/>
      <c r="AW1602"/>
      <c r="AX1602"/>
      <c r="AY1602"/>
      <c r="AZ1602"/>
      <c r="BA1602"/>
      <c r="BB1602"/>
      <c r="BC1602"/>
      <c r="BD1602"/>
      <c r="BE1602"/>
      <c r="BF1602"/>
      <c r="BG1602"/>
      <c r="BH1602"/>
      <c r="BI1602"/>
      <c r="BJ1602"/>
      <c r="BK1602"/>
      <c r="BL1602"/>
      <c r="BM1602"/>
      <c r="BN1602"/>
      <c r="BO1602"/>
    </row>
    <row r="1603" spans="3:67" s="1" customFormat="1" hidden="1">
      <c r="C1603" s="14"/>
      <c r="F1603" s="17"/>
      <c r="G1603" s="18"/>
      <c r="T1603" s="9"/>
      <c r="U1603" s="9"/>
      <c r="V1603" s="9"/>
      <c r="AO1603"/>
      <c r="AP1603"/>
      <c r="AQ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  <c r="BE1603"/>
      <c r="BF1603"/>
      <c r="BG1603"/>
      <c r="BH1603"/>
      <c r="BI1603"/>
      <c r="BJ1603"/>
      <c r="BK1603"/>
      <c r="BL1603"/>
      <c r="BM1603"/>
      <c r="BN1603"/>
      <c r="BO1603"/>
    </row>
    <row r="1604" spans="3:67" s="1" customFormat="1" hidden="1">
      <c r="C1604" s="14"/>
      <c r="F1604" s="17"/>
      <c r="G1604" s="18"/>
      <c r="T1604" s="9"/>
      <c r="U1604" s="9"/>
      <c r="V1604" s="9"/>
      <c r="AO1604"/>
      <c r="AP1604"/>
      <c r="AQ1604"/>
      <c r="AR1604"/>
      <c r="AS1604"/>
      <c r="AT1604"/>
      <c r="AU1604"/>
      <c r="AV1604"/>
      <c r="AW1604"/>
      <c r="AX1604"/>
      <c r="AY1604"/>
      <c r="AZ1604"/>
      <c r="BA1604"/>
      <c r="BB1604"/>
      <c r="BC1604"/>
      <c r="BD1604"/>
      <c r="BE1604"/>
      <c r="BF1604"/>
      <c r="BG1604"/>
      <c r="BH1604"/>
      <c r="BI1604"/>
      <c r="BJ1604"/>
      <c r="BK1604"/>
      <c r="BL1604"/>
      <c r="BM1604"/>
      <c r="BN1604"/>
      <c r="BO1604"/>
    </row>
    <row r="1605" spans="3:67" s="1" customFormat="1" hidden="1">
      <c r="C1605" s="14"/>
      <c r="F1605" s="17"/>
      <c r="G1605" s="18"/>
      <c r="T1605" s="9"/>
      <c r="U1605" s="9"/>
      <c r="V1605" s="9"/>
      <c r="AO1605"/>
      <c r="AP1605"/>
      <c r="AQ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/>
      <c r="BN1605"/>
      <c r="BO1605"/>
    </row>
    <row r="1606" spans="3:67" s="1" customFormat="1" hidden="1">
      <c r="C1606" s="14"/>
      <c r="F1606" s="17"/>
      <c r="G1606" s="18"/>
      <c r="T1606" s="9"/>
      <c r="U1606" s="9"/>
      <c r="V1606" s="9"/>
      <c r="AO1606"/>
      <c r="AP1606"/>
      <c r="AQ1606"/>
      <c r="AR1606"/>
      <c r="AS1606"/>
      <c r="AT1606"/>
      <c r="AU1606"/>
      <c r="AV1606"/>
      <c r="AW1606"/>
      <c r="AX1606"/>
      <c r="AY1606"/>
      <c r="AZ1606"/>
      <c r="BA1606"/>
      <c r="BB1606"/>
      <c r="BC1606"/>
      <c r="BD1606"/>
      <c r="BE1606"/>
      <c r="BF1606"/>
      <c r="BG1606"/>
      <c r="BH1606"/>
      <c r="BI1606"/>
      <c r="BJ1606"/>
      <c r="BK1606"/>
      <c r="BL1606"/>
      <c r="BM1606"/>
      <c r="BN1606"/>
      <c r="BO1606"/>
    </row>
    <row r="1607" spans="3:67" s="1" customFormat="1" hidden="1">
      <c r="C1607" s="14"/>
      <c r="F1607" s="17"/>
      <c r="G1607" s="18"/>
      <c r="T1607" s="9"/>
      <c r="U1607" s="9"/>
      <c r="V1607" s="9"/>
      <c r="AO1607"/>
      <c r="AP1607"/>
      <c r="AQ1607"/>
      <c r="AR1607"/>
      <c r="AS1607"/>
      <c r="AT1607"/>
      <c r="AU1607"/>
      <c r="AV1607"/>
      <c r="AW1607"/>
      <c r="AX1607"/>
      <c r="AY1607"/>
      <c r="AZ1607"/>
      <c r="BA1607"/>
      <c r="BB1607"/>
      <c r="BC1607"/>
      <c r="BD1607"/>
      <c r="BE1607"/>
      <c r="BF1607"/>
      <c r="BG1607"/>
      <c r="BH1607"/>
      <c r="BI1607"/>
      <c r="BJ1607"/>
      <c r="BK1607"/>
      <c r="BL1607"/>
      <c r="BM1607"/>
      <c r="BN1607"/>
      <c r="BO1607"/>
    </row>
    <row r="1608" spans="3:67" s="1" customFormat="1" hidden="1">
      <c r="C1608" s="14"/>
      <c r="F1608" s="17"/>
      <c r="G1608" s="18"/>
      <c r="T1608" s="9"/>
      <c r="U1608" s="9"/>
      <c r="V1608" s="9"/>
      <c r="AO1608"/>
      <c r="AP1608"/>
      <c r="AQ1608"/>
      <c r="AR1608"/>
      <c r="AS1608"/>
      <c r="AT1608"/>
      <c r="AU1608"/>
      <c r="AV1608"/>
      <c r="AW1608"/>
      <c r="AX1608"/>
      <c r="AY1608"/>
      <c r="AZ1608"/>
      <c r="BA1608"/>
      <c r="BB1608"/>
      <c r="BC1608"/>
      <c r="BD1608"/>
      <c r="BE1608"/>
      <c r="BF1608"/>
      <c r="BG1608"/>
      <c r="BH1608"/>
      <c r="BI1608"/>
      <c r="BJ1608"/>
      <c r="BK1608"/>
      <c r="BL1608"/>
      <c r="BM1608"/>
      <c r="BN1608"/>
      <c r="BO1608"/>
    </row>
    <row r="1609" spans="3:67" s="1" customFormat="1" hidden="1">
      <c r="C1609" s="14"/>
      <c r="F1609" s="17"/>
      <c r="G1609" s="18"/>
      <c r="T1609" s="9"/>
      <c r="U1609" s="9"/>
      <c r="V1609" s="9"/>
      <c r="AO1609"/>
      <c r="AP1609"/>
      <c r="AQ1609"/>
      <c r="AR1609"/>
      <c r="AS1609"/>
      <c r="AT1609"/>
      <c r="AU1609"/>
      <c r="AV1609"/>
      <c r="AW1609"/>
      <c r="AX1609"/>
      <c r="AY1609"/>
      <c r="AZ1609"/>
      <c r="BA1609"/>
      <c r="BB1609"/>
      <c r="BC1609"/>
      <c r="BD1609"/>
      <c r="BE1609"/>
      <c r="BF1609"/>
      <c r="BG1609"/>
      <c r="BH1609"/>
      <c r="BI1609"/>
      <c r="BJ1609"/>
      <c r="BK1609"/>
      <c r="BL1609"/>
      <c r="BM1609"/>
      <c r="BN1609"/>
      <c r="BO1609"/>
    </row>
    <row r="1610" spans="3:67" s="1" customFormat="1" hidden="1">
      <c r="C1610" s="14"/>
      <c r="F1610" s="17"/>
      <c r="G1610" s="18"/>
      <c r="T1610" s="9"/>
      <c r="U1610" s="9"/>
      <c r="V1610" s="9"/>
      <c r="AO1610"/>
      <c r="AP1610"/>
      <c r="AQ1610"/>
      <c r="AR1610"/>
      <c r="AS1610"/>
      <c r="AT1610"/>
      <c r="AU1610"/>
      <c r="AV1610"/>
      <c r="AW1610"/>
      <c r="AX1610"/>
      <c r="AY1610"/>
      <c r="AZ1610"/>
      <c r="BA1610"/>
      <c r="BB1610"/>
      <c r="BC1610"/>
      <c r="BD1610"/>
      <c r="BE1610"/>
      <c r="BF1610"/>
      <c r="BG1610"/>
      <c r="BH1610"/>
      <c r="BI1610"/>
      <c r="BJ1610"/>
      <c r="BK1610"/>
      <c r="BL1610"/>
      <c r="BM1610"/>
      <c r="BN1610"/>
      <c r="BO1610"/>
    </row>
    <row r="1611" spans="3:67" s="1" customFormat="1" hidden="1">
      <c r="C1611" s="14"/>
      <c r="F1611" s="17"/>
      <c r="G1611" s="18"/>
      <c r="T1611" s="9"/>
      <c r="U1611" s="9"/>
      <c r="V1611" s="9"/>
      <c r="AO1611"/>
      <c r="AP1611"/>
      <c r="AQ1611"/>
      <c r="AR1611"/>
      <c r="AS1611"/>
      <c r="AT1611"/>
      <c r="AU1611"/>
      <c r="AV1611"/>
      <c r="AW1611"/>
      <c r="AX1611"/>
      <c r="AY1611"/>
      <c r="AZ1611"/>
      <c r="BA1611"/>
      <c r="BB1611"/>
      <c r="BC1611"/>
      <c r="BD1611"/>
      <c r="BE1611"/>
      <c r="BF1611"/>
      <c r="BG1611"/>
      <c r="BH1611"/>
      <c r="BI1611"/>
      <c r="BJ1611"/>
      <c r="BK1611"/>
      <c r="BL1611"/>
      <c r="BM1611"/>
      <c r="BN1611"/>
      <c r="BO1611"/>
    </row>
    <row r="1612" spans="3:67" s="1" customFormat="1" hidden="1">
      <c r="C1612" s="14"/>
      <c r="F1612" s="17"/>
      <c r="G1612" s="18"/>
      <c r="T1612" s="9"/>
      <c r="U1612" s="9"/>
      <c r="V1612" s="9"/>
      <c r="AO1612"/>
      <c r="AP1612"/>
      <c r="AQ1612"/>
      <c r="AR1612"/>
      <c r="AS1612"/>
      <c r="AT1612"/>
      <c r="AU1612"/>
      <c r="AV1612"/>
      <c r="AW1612"/>
      <c r="AX1612"/>
      <c r="AY1612"/>
      <c r="AZ1612"/>
      <c r="BA1612"/>
      <c r="BB1612"/>
      <c r="BC1612"/>
      <c r="BD1612"/>
      <c r="BE1612"/>
      <c r="BF1612"/>
      <c r="BG1612"/>
      <c r="BH1612"/>
      <c r="BI1612"/>
      <c r="BJ1612"/>
      <c r="BK1612"/>
      <c r="BL1612"/>
      <c r="BM1612"/>
      <c r="BN1612"/>
      <c r="BO1612"/>
    </row>
    <row r="1613" spans="3:67" s="1" customFormat="1" hidden="1">
      <c r="C1613" s="14"/>
      <c r="F1613" s="17"/>
      <c r="G1613" s="18"/>
      <c r="T1613" s="9"/>
      <c r="U1613" s="9"/>
      <c r="V1613" s="9"/>
      <c r="AO1613"/>
      <c r="AP1613"/>
      <c r="AQ1613"/>
      <c r="AR1613"/>
      <c r="AS1613"/>
      <c r="AT1613"/>
      <c r="AU1613"/>
      <c r="AV1613"/>
      <c r="AW1613"/>
      <c r="AX1613"/>
      <c r="AY1613"/>
      <c r="AZ1613"/>
      <c r="BA1613"/>
      <c r="BB1613"/>
      <c r="BC1613"/>
      <c r="BD1613"/>
      <c r="BE1613"/>
      <c r="BF1613"/>
      <c r="BG1613"/>
      <c r="BH1613"/>
      <c r="BI1613"/>
      <c r="BJ1613"/>
      <c r="BK1613"/>
      <c r="BL1613"/>
      <c r="BM1613"/>
      <c r="BN1613"/>
      <c r="BO1613"/>
    </row>
    <row r="1614" spans="3:67" s="1" customFormat="1" hidden="1">
      <c r="C1614" s="14"/>
      <c r="F1614" s="17"/>
      <c r="G1614" s="18"/>
      <c r="T1614" s="9"/>
      <c r="U1614" s="9"/>
      <c r="V1614" s="9"/>
      <c r="AO1614"/>
      <c r="AP1614"/>
      <c r="AQ1614"/>
      <c r="AR1614"/>
      <c r="AS1614"/>
      <c r="AT1614"/>
      <c r="AU1614"/>
      <c r="AV1614"/>
      <c r="AW1614"/>
      <c r="AX1614"/>
      <c r="AY1614"/>
      <c r="AZ1614"/>
      <c r="BA1614"/>
      <c r="BB1614"/>
      <c r="BC1614"/>
      <c r="BD1614"/>
      <c r="BE1614"/>
      <c r="BF1614"/>
      <c r="BG1614"/>
      <c r="BH1614"/>
      <c r="BI1614"/>
      <c r="BJ1614"/>
      <c r="BK1614"/>
      <c r="BL1614"/>
      <c r="BM1614"/>
      <c r="BN1614"/>
      <c r="BO1614"/>
    </row>
    <row r="1615" spans="3:67" s="1" customFormat="1" hidden="1">
      <c r="C1615" s="14"/>
      <c r="F1615" s="17"/>
      <c r="G1615" s="18"/>
      <c r="T1615" s="9"/>
      <c r="U1615" s="9"/>
      <c r="V1615" s="9"/>
      <c r="AO1615"/>
      <c r="AP1615"/>
      <c r="AQ1615"/>
      <c r="AR1615"/>
      <c r="AS1615"/>
      <c r="AT1615"/>
      <c r="AU1615"/>
      <c r="AV1615"/>
      <c r="AW1615"/>
      <c r="AX1615"/>
      <c r="AY1615"/>
      <c r="AZ1615"/>
      <c r="BA1615"/>
      <c r="BB1615"/>
      <c r="BC1615"/>
      <c r="BD1615"/>
      <c r="BE1615"/>
      <c r="BF1615"/>
      <c r="BG1615"/>
      <c r="BH1615"/>
      <c r="BI1615"/>
      <c r="BJ1615"/>
      <c r="BK1615"/>
      <c r="BL1615"/>
      <c r="BM1615"/>
      <c r="BN1615"/>
      <c r="BO1615"/>
    </row>
    <row r="1616" spans="3:67" s="1" customFormat="1" hidden="1">
      <c r="C1616" s="14"/>
      <c r="F1616" s="17"/>
      <c r="G1616" s="18"/>
      <c r="T1616" s="9"/>
      <c r="U1616" s="9"/>
      <c r="V1616" s="9"/>
      <c r="AO1616"/>
      <c r="AP1616"/>
      <c r="AQ1616"/>
      <c r="AR1616"/>
      <c r="AS1616"/>
      <c r="AT1616"/>
      <c r="AU1616"/>
      <c r="AV1616"/>
      <c r="AW1616"/>
      <c r="AX1616"/>
      <c r="AY1616"/>
      <c r="AZ1616"/>
      <c r="BA1616"/>
      <c r="BB1616"/>
      <c r="BC1616"/>
      <c r="BD1616"/>
      <c r="BE1616"/>
      <c r="BF1616"/>
      <c r="BG1616"/>
      <c r="BH1616"/>
      <c r="BI1616"/>
      <c r="BJ1616"/>
      <c r="BK1616"/>
      <c r="BL1616"/>
      <c r="BM1616"/>
      <c r="BN1616"/>
      <c r="BO1616"/>
    </row>
    <row r="1617" spans="3:67" s="1" customFormat="1" hidden="1">
      <c r="C1617" s="14"/>
      <c r="F1617" s="17"/>
      <c r="G1617" s="18"/>
      <c r="T1617" s="9"/>
      <c r="U1617" s="9"/>
      <c r="V1617" s="9"/>
      <c r="AO1617"/>
      <c r="AP1617"/>
      <c r="AQ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</row>
    <row r="1618" spans="3:67" s="1" customFormat="1" hidden="1">
      <c r="C1618" s="14"/>
      <c r="F1618" s="17"/>
      <c r="G1618" s="18"/>
      <c r="T1618" s="9"/>
      <c r="U1618" s="9"/>
      <c r="V1618" s="9"/>
      <c r="AO1618"/>
      <c r="AP1618"/>
      <c r="AQ1618"/>
      <c r="AR1618"/>
      <c r="AS1618"/>
      <c r="AT1618"/>
      <c r="AU1618"/>
      <c r="AV1618"/>
      <c r="AW1618"/>
      <c r="AX1618"/>
      <c r="AY1618"/>
      <c r="AZ1618"/>
      <c r="BA1618"/>
      <c r="BB1618"/>
      <c r="BC1618"/>
      <c r="BD1618"/>
      <c r="BE1618"/>
      <c r="BF1618"/>
      <c r="BG1618"/>
      <c r="BH1618"/>
      <c r="BI1618"/>
      <c r="BJ1618"/>
      <c r="BK1618"/>
      <c r="BL1618"/>
      <c r="BM1618"/>
      <c r="BN1618"/>
      <c r="BO1618"/>
    </row>
    <row r="1619" spans="3:67" s="1" customFormat="1" hidden="1">
      <c r="C1619" s="14"/>
      <c r="F1619" s="17"/>
      <c r="G1619" s="18"/>
      <c r="T1619" s="9"/>
      <c r="U1619" s="9"/>
      <c r="V1619" s="9"/>
      <c r="AO1619"/>
      <c r="AP1619"/>
      <c r="AQ1619"/>
      <c r="AR1619"/>
      <c r="AS1619"/>
      <c r="AT1619"/>
      <c r="AU1619"/>
      <c r="AV1619"/>
      <c r="AW1619"/>
      <c r="AX1619"/>
      <c r="AY1619"/>
      <c r="AZ1619"/>
      <c r="BA1619"/>
      <c r="BB1619"/>
      <c r="BC1619"/>
      <c r="BD1619"/>
      <c r="BE1619"/>
      <c r="BF1619"/>
      <c r="BG1619"/>
      <c r="BH1619"/>
      <c r="BI1619"/>
      <c r="BJ1619"/>
      <c r="BK1619"/>
      <c r="BL1619"/>
      <c r="BM1619"/>
      <c r="BN1619"/>
      <c r="BO1619"/>
    </row>
    <row r="1620" spans="3:67" s="1" customFormat="1" hidden="1">
      <c r="C1620" s="14"/>
      <c r="F1620" s="17"/>
      <c r="G1620" s="18"/>
      <c r="T1620" s="9"/>
      <c r="U1620" s="9"/>
      <c r="V1620" s="9"/>
      <c r="AO1620"/>
      <c r="AP1620"/>
      <c r="AQ1620"/>
      <c r="AR1620"/>
      <c r="AS1620"/>
      <c r="AT1620"/>
      <c r="AU1620"/>
      <c r="AV1620"/>
      <c r="AW1620"/>
      <c r="AX1620"/>
      <c r="AY1620"/>
      <c r="AZ1620"/>
      <c r="BA1620"/>
      <c r="BB1620"/>
      <c r="BC1620"/>
      <c r="BD1620"/>
      <c r="BE1620"/>
      <c r="BF1620"/>
      <c r="BG1620"/>
      <c r="BH1620"/>
      <c r="BI1620"/>
      <c r="BJ1620"/>
      <c r="BK1620"/>
      <c r="BL1620"/>
      <c r="BM1620"/>
      <c r="BN1620"/>
      <c r="BO1620"/>
    </row>
    <row r="1621" spans="3:67" s="1" customFormat="1" hidden="1">
      <c r="C1621" s="14"/>
      <c r="F1621" s="17"/>
      <c r="G1621" s="18"/>
      <c r="T1621" s="9"/>
      <c r="U1621" s="9"/>
      <c r="V1621" s="9"/>
      <c r="AO1621"/>
      <c r="AP1621"/>
      <c r="AQ1621"/>
      <c r="AR1621"/>
      <c r="AS1621"/>
      <c r="AT1621"/>
      <c r="AU1621"/>
      <c r="AV1621"/>
      <c r="AW1621"/>
      <c r="AX1621"/>
      <c r="AY1621"/>
      <c r="AZ1621"/>
      <c r="BA1621"/>
      <c r="BB1621"/>
      <c r="BC1621"/>
      <c r="BD1621"/>
      <c r="BE1621"/>
      <c r="BF1621"/>
      <c r="BG1621"/>
      <c r="BH1621"/>
      <c r="BI1621"/>
      <c r="BJ1621"/>
      <c r="BK1621"/>
      <c r="BL1621"/>
      <c r="BM1621"/>
      <c r="BN1621"/>
      <c r="BO1621"/>
    </row>
    <row r="1622" spans="3:67" s="1" customFormat="1" hidden="1">
      <c r="C1622" s="14"/>
      <c r="F1622" s="17"/>
      <c r="G1622" s="18"/>
      <c r="T1622" s="9"/>
      <c r="U1622" s="9"/>
      <c r="V1622" s="9"/>
      <c r="AO1622"/>
      <c r="AP1622"/>
      <c r="AQ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  <c r="BH1622"/>
      <c r="BI1622"/>
      <c r="BJ1622"/>
      <c r="BK1622"/>
      <c r="BL1622"/>
      <c r="BM1622"/>
      <c r="BN1622"/>
      <c r="BO1622"/>
    </row>
    <row r="1623" spans="3:67" s="1" customFormat="1" hidden="1">
      <c r="C1623" s="14"/>
      <c r="F1623" s="17"/>
      <c r="G1623" s="18"/>
      <c r="T1623" s="9"/>
      <c r="U1623" s="9"/>
      <c r="V1623" s="9"/>
      <c r="AO1623"/>
      <c r="AP1623"/>
      <c r="AQ1623"/>
      <c r="AR1623"/>
      <c r="AS1623"/>
      <c r="AT1623"/>
      <c r="AU1623"/>
      <c r="AV1623"/>
      <c r="AW1623"/>
      <c r="AX1623"/>
      <c r="AY1623"/>
      <c r="AZ1623"/>
      <c r="BA1623"/>
      <c r="BB1623"/>
      <c r="BC1623"/>
      <c r="BD1623"/>
      <c r="BE1623"/>
      <c r="BF1623"/>
      <c r="BG1623"/>
      <c r="BH1623"/>
      <c r="BI1623"/>
      <c r="BJ1623"/>
      <c r="BK1623"/>
      <c r="BL1623"/>
      <c r="BM1623"/>
      <c r="BN1623"/>
      <c r="BO1623"/>
    </row>
    <row r="1624" spans="3:67" s="1" customFormat="1" hidden="1">
      <c r="C1624" s="14"/>
      <c r="F1624" s="17"/>
      <c r="G1624" s="18"/>
      <c r="T1624" s="9"/>
      <c r="U1624" s="9"/>
      <c r="V1624" s="9"/>
      <c r="AO1624"/>
      <c r="AP1624"/>
      <c r="AQ1624"/>
      <c r="AR1624"/>
      <c r="AS1624"/>
      <c r="AT1624"/>
      <c r="AU1624"/>
      <c r="AV1624"/>
      <c r="AW1624"/>
      <c r="AX1624"/>
      <c r="AY1624"/>
      <c r="AZ1624"/>
      <c r="BA1624"/>
      <c r="BB1624"/>
      <c r="BC1624"/>
      <c r="BD1624"/>
      <c r="BE1624"/>
      <c r="BF1624"/>
      <c r="BG1624"/>
      <c r="BH1624"/>
      <c r="BI1624"/>
      <c r="BJ1624"/>
      <c r="BK1624"/>
      <c r="BL1624"/>
      <c r="BM1624"/>
      <c r="BN1624"/>
      <c r="BO1624"/>
    </row>
    <row r="1625" spans="3:67" s="1" customFormat="1" hidden="1">
      <c r="C1625" s="14"/>
      <c r="F1625" s="17"/>
      <c r="G1625" s="18"/>
      <c r="T1625" s="9"/>
      <c r="U1625" s="9"/>
      <c r="V1625" s="9"/>
      <c r="AO1625"/>
      <c r="AP1625"/>
      <c r="AQ1625"/>
      <c r="AR1625"/>
      <c r="AS1625"/>
      <c r="AT1625"/>
      <c r="AU1625"/>
      <c r="AV1625"/>
      <c r="AW1625"/>
      <c r="AX1625"/>
      <c r="AY1625"/>
      <c r="AZ1625"/>
      <c r="BA1625"/>
      <c r="BB1625"/>
      <c r="BC1625"/>
      <c r="BD1625"/>
      <c r="BE1625"/>
      <c r="BF1625"/>
      <c r="BG1625"/>
      <c r="BH1625"/>
      <c r="BI1625"/>
      <c r="BJ1625"/>
      <c r="BK1625"/>
      <c r="BL1625"/>
      <c r="BM1625"/>
      <c r="BN1625"/>
      <c r="BO1625"/>
    </row>
    <row r="1626" spans="3:67" s="1" customFormat="1" hidden="1">
      <c r="C1626" s="14"/>
      <c r="F1626" s="17"/>
      <c r="G1626" s="18"/>
      <c r="T1626" s="9"/>
      <c r="U1626" s="9"/>
      <c r="V1626" s="9"/>
      <c r="AO1626"/>
      <c r="AP1626"/>
      <c r="AQ1626"/>
      <c r="AR1626"/>
      <c r="AS1626"/>
      <c r="AT1626"/>
      <c r="AU1626"/>
      <c r="AV1626"/>
      <c r="AW1626"/>
      <c r="AX1626"/>
      <c r="AY1626"/>
      <c r="AZ1626"/>
      <c r="BA1626"/>
      <c r="BB1626"/>
      <c r="BC1626"/>
      <c r="BD1626"/>
      <c r="BE1626"/>
      <c r="BF1626"/>
      <c r="BG1626"/>
      <c r="BH1626"/>
      <c r="BI1626"/>
      <c r="BJ1626"/>
      <c r="BK1626"/>
      <c r="BL1626"/>
      <c r="BM1626"/>
      <c r="BN1626"/>
      <c r="BO1626"/>
    </row>
    <row r="1627" spans="3:67" s="1" customFormat="1" hidden="1">
      <c r="C1627" s="14"/>
      <c r="F1627" s="17"/>
      <c r="G1627" s="18"/>
      <c r="T1627" s="9"/>
      <c r="U1627" s="9"/>
      <c r="V1627" s="9"/>
      <c r="AO1627"/>
      <c r="AP1627"/>
      <c r="AQ1627"/>
      <c r="AR1627"/>
      <c r="AS1627"/>
      <c r="AT1627"/>
      <c r="AU1627"/>
      <c r="AV1627"/>
      <c r="AW1627"/>
      <c r="AX1627"/>
      <c r="AY1627"/>
      <c r="AZ1627"/>
      <c r="BA1627"/>
      <c r="BB1627"/>
      <c r="BC1627"/>
      <c r="BD1627"/>
      <c r="BE1627"/>
      <c r="BF1627"/>
      <c r="BG1627"/>
      <c r="BH1627"/>
      <c r="BI1627"/>
      <c r="BJ1627"/>
      <c r="BK1627"/>
      <c r="BL1627"/>
      <c r="BM1627"/>
      <c r="BN1627"/>
      <c r="BO1627"/>
    </row>
    <row r="1628" spans="3:67" s="1" customFormat="1" hidden="1">
      <c r="C1628" s="14"/>
      <c r="F1628" s="17"/>
      <c r="G1628" s="18"/>
      <c r="T1628" s="9"/>
      <c r="U1628" s="9"/>
      <c r="V1628" s="9"/>
      <c r="AO1628"/>
      <c r="AP1628"/>
      <c r="AQ1628"/>
      <c r="AR1628"/>
      <c r="AS1628"/>
      <c r="AT1628"/>
      <c r="AU1628"/>
      <c r="AV1628"/>
      <c r="AW1628"/>
      <c r="AX1628"/>
      <c r="AY1628"/>
      <c r="AZ1628"/>
      <c r="BA1628"/>
      <c r="BB1628"/>
      <c r="BC1628"/>
      <c r="BD1628"/>
      <c r="BE1628"/>
      <c r="BF1628"/>
      <c r="BG1628"/>
      <c r="BH1628"/>
      <c r="BI1628"/>
      <c r="BJ1628"/>
      <c r="BK1628"/>
      <c r="BL1628"/>
      <c r="BM1628"/>
      <c r="BN1628"/>
      <c r="BO1628"/>
    </row>
    <row r="1629" spans="3:67" s="1" customFormat="1" hidden="1">
      <c r="C1629" s="14"/>
      <c r="F1629" s="17"/>
      <c r="G1629" s="18"/>
      <c r="T1629" s="9"/>
      <c r="U1629" s="9"/>
      <c r="V1629" s="9"/>
      <c r="AO1629"/>
      <c r="AP1629"/>
      <c r="AQ1629"/>
      <c r="AR1629"/>
      <c r="AS1629"/>
      <c r="AT1629"/>
      <c r="AU1629"/>
      <c r="AV1629"/>
      <c r="AW1629"/>
      <c r="AX1629"/>
      <c r="AY1629"/>
      <c r="AZ1629"/>
      <c r="BA1629"/>
      <c r="BB1629"/>
      <c r="BC1629"/>
      <c r="BD1629"/>
      <c r="BE1629"/>
      <c r="BF1629"/>
      <c r="BG1629"/>
      <c r="BH1629"/>
      <c r="BI1629"/>
      <c r="BJ1629"/>
      <c r="BK1629"/>
      <c r="BL1629"/>
      <c r="BM1629"/>
      <c r="BN1629"/>
      <c r="BO1629"/>
    </row>
    <row r="1630" spans="3:67" s="1" customFormat="1" hidden="1">
      <c r="C1630" s="14"/>
      <c r="F1630" s="17"/>
      <c r="G1630" s="18"/>
      <c r="T1630" s="9"/>
      <c r="U1630" s="9"/>
      <c r="V1630" s="9"/>
      <c r="AO1630"/>
      <c r="AP1630"/>
      <c r="AQ1630"/>
      <c r="AR1630"/>
      <c r="AS1630"/>
      <c r="AT1630"/>
      <c r="AU1630"/>
      <c r="AV1630"/>
      <c r="AW1630"/>
      <c r="AX1630"/>
      <c r="AY1630"/>
      <c r="AZ1630"/>
      <c r="BA1630"/>
      <c r="BB1630"/>
      <c r="BC1630"/>
      <c r="BD1630"/>
      <c r="BE1630"/>
      <c r="BF1630"/>
      <c r="BG1630"/>
      <c r="BH1630"/>
      <c r="BI1630"/>
      <c r="BJ1630"/>
      <c r="BK1630"/>
      <c r="BL1630"/>
      <c r="BM1630"/>
      <c r="BN1630"/>
      <c r="BO1630"/>
    </row>
    <row r="1631" spans="3:67" s="1" customFormat="1" hidden="1">
      <c r="C1631" s="14"/>
      <c r="F1631" s="17"/>
      <c r="G1631" s="18"/>
      <c r="T1631" s="9"/>
      <c r="U1631" s="9"/>
      <c r="V1631" s="9"/>
      <c r="AO1631"/>
      <c r="AP1631"/>
      <c r="AQ1631"/>
      <c r="AR1631"/>
      <c r="AS1631"/>
      <c r="AT1631"/>
      <c r="AU1631"/>
      <c r="AV1631"/>
      <c r="AW1631"/>
      <c r="AX1631"/>
      <c r="AY1631"/>
      <c r="AZ1631"/>
      <c r="BA1631"/>
      <c r="BB1631"/>
      <c r="BC1631"/>
      <c r="BD1631"/>
      <c r="BE1631"/>
      <c r="BF1631"/>
      <c r="BG1631"/>
      <c r="BH1631"/>
      <c r="BI1631"/>
      <c r="BJ1631"/>
      <c r="BK1631"/>
      <c r="BL1631"/>
      <c r="BM1631"/>
      <c r="BN1631"/>
      <c r="BO1631"/>
    </row>
    <row r="1632" spans="3:67" s="1" customFormat="1" hidden="1">
      <c r="C1632" s="14"/>
      <c r="F1632" s="17"/>
      <c r="G1632" s="18"/>
      <c r="T1632" s="9"/>
      <c r="U1632" s="9"/>
      <c r="V1632" s="9"/>
      <c r="AO1632"/>
      <c r="AP1632"/>
      <c r="AQ1632"/>
      <c r="AR1632"/>
      <c r="AS1632"/>
      <c r="AT1632"/>
      <c r="AU1632"/>
      <c r="AV1632"/>
      <c r="AW1632"/>
      <c r="AX1632"/>
      <c r="AY1632"/>
      <c r="AZ1632"/>
      <c r="BA1632"/>
      <c r="BB1632"/>
      <c r="BC1632"/>
      <c r="BD1632"/>
      <c r="BE1632"/>
      <c r="BF1632"/>
      <c r="BG1632"/>
      <c r="BH1632"/>
      <c r="BI1632"/>
      <c r="BJ1632"/>
      <c r="BK1632"/>
      <c r="BL1632"/>
      <c r="BM1632"/>
      <c r="BN1632"/>
      <c r="BO1632"/>
    </row>
    <row r="1633" spans="3:67" s="1" customFormat="1" hidden="1">
      <c r="C1633" s="14"/>
      <c r="F1633" s="17"/>
      <c r="G1633" s="18"/>
      <c r="T1633" s="9"/>
      <c r="U1633" s="9"/>
      <c r="V1633" s="9"/>
      <c r="AO1633"/>
      <c r="AP1633"/>
      <c r="AQ1633"/>
      <c r="AR1633"/>
      <c r="AS1633"/>
      <c r="AT1633"/>
      <c r="AU1633"/>
      <c r="AV1633"/>
      <c r="AW1633"/>
      <c r="AX1633"/>
      <c r="AY1633"/>
      <c r="AZ1633"/>
      <c r="BA1633"/>
      <c r="BB1633"/>
      <c r="BC1633"/>
      <c r="BD1633"/>
      <c r="BE1633"/>
      <c r="BF1633"/>
      <c r="BG1633"/>
      <c r="BH1633"/>
      <c r="BI1633"/>
      <c r="BJ1633"/>
      <c r="BK1633"/>
      <c r="BL1633"/>
      <c r="BM1633"/>
      <c r="BN1633"/>
      <c r="BO1633"/>
    </row>
    <row r="1634" spans="3:67" s="1" customFormat="1" hidden="1">
      <c r="C1634" s="14"/>
      <c r="F1634" s="17"/>
      <c r="G1634" s="18"/>
      <c r="T1634" s="9"/>
      <c r="U1634" s="9"/>
      <c r="V1634" s="9"/>
      <c r="AO1634"/>
      <c r="AP1634"/>
      <c r="AQ1634"/>
      <c r="AR1634"/>
      <c r="AS1634"/>
      <c r="AT1634"/>
      <c r="AU1634"/>
      <c r="AV1634"/>
      <c r="AW1634"/>
      <c r="AX1634"/>
      <c r="AY1634"/>
      <c r="AZ1634"/>
      <c r="BA1634"/>
      <c r="BB1634"/>
      <c r="BC1634"/>
      <c r="BD1634"/>
      <c r="BE1634"/>
      <c r="BF1634"/>
      <c r="BG1634"/>
      <c r="BH1634"/>
      <c r="BI1634"/>
      <c r="BJ1634"/>
      <c r="BK1634"/>
      <c r="BL1634"/>
      <c r="BM1634"/>
      <c r="BN1634"/>
      <c r="BO1634"/>
    </row>
    <row r="1635" spans="3:67" s="1" customFormat="1" hidden="1">
      <c r="C1635" s="14"/>
      <c r="F1635" s="17"/>
      <c r="G1635" s="18"/>
      <c r="T1635" s="9"/>
      <c r="U1635" s="9"/>
      <c r="V1635" s="9"/>
      <c r="AO1635"/>
      <c r="AP1635"/>
      <c r="AQ1635"/>
      <c r="AR1635"/>
      <c r="AS1635"/>
      <c r="AT1635"/>
      <c r="AU1635"/>
      <c r="AV1635"/>
      <c r="AW1635"/>
      <c r="AX1635"/>
      <c r="AY1635"/>
      <c r="AZ1635"/>
      <c r="BA1635"/>
      <c r="BB1635"/>
      <c r="BC1635"/>
      <c r="BD1635"/>
      <c r="BE1635"/>
      <c r="BF1635"/>
      <c r="BG1635"/>
      <c r="BH1635"/>
      <c r="BI1635"/>
      <c r="BJ1635"/>
      <c r="BK1635"/>
      <c r="BL1635"/>
      <c r="BM1635"/>
      <c r="BN1635"/>
      <c r="BO1635"/>
    </row>
    <row r="1636" spans="3:67" s="1" customFormat="1" hidden="1">
      <c r="C1636" s="14"/>
      <c r="F1636" s="17"/>
      <c r="G1636" s="18"/>
      <c r="T1636" s="9"/>
      <c r="U1636" s="9"/>
      <c r="V1636" s="9"/>
      <c r="AO1636"/>
      <c r="AP1636"/>
      <c r="AQ1636"/>
      <c r="AR1636"/>
      <c r="AS1636"/>
      <c r="AT1636"/>
      <c r="AU1636"/>
      <c r="AV1636"/>
      <c r="AW1636"/>
      <c r="AX1636"/>
      <c r="AY1636"/>
      <c r="AZ1636"/>
      <c r="BA1636"/>
      <c r="BB1636"/>
      <c r="BC1636"/>
      <c r="BD1636"/>
      <c r="BE1636"/>
      <c r="BF1636"/>
      <c r="BG1636"/>
      <c r="BH1636"/>
      <c r="BI1636"/>
      <c r="BJ1636"/>
      <c r="BK1636"/>
      <c r="BL1636"/>
      <c r="BM1636"/>
      <c r="BN1636"/>
      <c r="BO1636"/>
    </row>
    <row r="1637" spans="3:67" s="1" customFormat="1" hidden="1">
      <c r="C1637" s="14"/>
      <c r="F1637" s="17"/>
      <c r="G1637" s="18"/>
      <c r="T1637" s="9"/>
      <c r="U1637" s="9"/>
      <c r="V1637" s="9"/>
      <c r="AO1637"/>
      <c r="AP1637"/>
      <c r="AQ1637"/>
      <c r="AR1637"/>
      <c r="AS1637"/>
      <c r="AT1637"/>
      <c r="AU1637"/>
      <c r="AV1637"/>
      <c r="AW1637"/>
      <c r="AX1637"/>
      <c r="AY1637"/>
      <c r="AZ1637"/>
      <c r="BA1637"/>
      <c r="BB1637"/>
      <c r="BC1637"/>
      <c r="BD1637"/>
      <c r="BE1637"/>
      <c r="BF1637"/>
      <c r="BG1637"/>
      <c r="BH1637"/>
      <c r="BI1637"/>
      <c r="BJ1637"/>
      <c r="BK1637"/>
      <c r="BL1637"/>
      <c r="BM1637"/>
      <c r="BN1637"/>
      <c r="BO1637"/>
    </row>
    <row r="1638" spans="3:67" s="1" customFormat="1" hidden="1">
      <c r="C1638" s="14"/>
      <c r="F1638" s="17"/>
      <c r="G1638" s="18"/>
      <c r="T1638" s="9"/>
      <c r="U1638" s="9"/>
      <c r="V1638" s="9"/>
      <c r="AO1638"/>
      <c r="AP1638"/>
      <c r="AQ1638"/>
      <c r="AR1638"/>
      <c r="AS1638"/>
      <c r="AT1638"/>
      <c r="AU1638"/>
      <c r="AV1638"/>
      <c r="AW1638"/>
      <c r="AX1638"/>
      <c r="AY1638"/>
      <c r="AZ1638"/>
      <c r="BA1638"/>
      <c r="BB1638"/>
      <c r="BC1638"/>
      <c r="BD1638"/>
      <c r="BE1638"/>
      <c r="BF1638"/>
      <c r="BG1638"/>
      <c r="BH1638"/>
      <c r="BI1638"/>
      <c r="BJ1638"/>
      <c r="BK1638"/>
      <c r="BL1638"/>
      <c r="BM1638"/>
      <c r="BN1638"/>
      <c r="BO1638"/>
    </row>
    <row r="1639" spans="3:67" s="1" customFormat="1" hidden="1">
      <c r="C1639" s="14"/>
      <c r="F1639" s="17"/>
      <c r="G1639" s="18"/>
      <c r="T1639" s="9"/>
      <c r="U1639" s="9"/>
      <c r="V1639" s="9"/>
      <c r="AO1639"/>
      <c r="AP1639"/>
      <c r="AQ1639"/>
      <c r="AR1639"/>
      <c r="AS1639"/>
      <c r="AT1639"/>
      <c r="AU1639"/>
      <c r="AV1639"/>
      <c r="AW1639"/>
      <c r="AX1639"/>
      <c r="AY1639"/>
      <c r="AZ1639"/>
      <c r="BA1639"/>
      <c r="BB1639"/>
      <c r="BC1639"/>
      <c r="BD1639"/>
      <c r="BE1639"/>
      <c r="BF1639"/>
      <c r="BG1639"/>
      <c r="BH1639"/>
      <c r="BI1639"/>
      <c r="BJ1639"/>
      <c r="BK1639"/>
      <c r="BL1639"/>
      <c r="BM1639"/>
      <c r="BN1639"/>
      <c r="BO1639"/>
    </row>
    <row r="1640" spans="3:67" s="1" customFormat="1" hidden="1">
      <c r="C1640" s="14"/>
      <c r="F1640" s="17"/>
      <c r="G1640" s="18"/>
      <c r="T1640" s="9"/>
      <c r="U1640" s="9"/>
      <c r="V1640" s="9"/>
      <c r="AO1640"/>
      <c r="AP1640"/>
      <c r="AQ1640"/>
      <c r="AR1640"/>
      <c r="AS1640"/>
      <c r="AT1640"/>
      <c r="AU1640"/>
      <c r="AV1640"/>
      <c r="AW1640"/>
      <c r="AX1640"/>
      <c r="AY1640"/>
      <c r="AZ1640"/>
      <c r="BA1640"/>
      <c r="BB1640"/>
      <c r="BC1640"/>
      <c r="BD1640"/>
      <c r="BE1640"/>
      <c r="BF1640"/>
      <c r="BG1640"/>
      <c r="BH1640"/>
      <c r="BI1640"/>
      <c r="BJ1640"/>
      <c r="BK1640"/>
      <c r="BL1640"/>
      <c r="BM1640"/>
      <c r="BN1640"/>
      <c r="BO1640"/>
    </row>
    <row r="1641" spans="3:67" s="1" customFormat="1" hidden="1">
      <c r="C1641" s="14"/>
      <c r="F1641" s="17"/>
      <c r="G1641" s="18"/>
      <c r="T1641" s="9"/>
      <c r="U1641" s="9"/>
      <c r="V1641" s="9"/>
      <c r="AO1641"/>
      <c r="AP1641"/>
      <c r="AQ1641"/>
      <c r="AR1641"/>
      <c r="AS1641"/>
      <c r="AT1641"/>
      <c r="AU1641"/>
      <c r="AV1641"/>
      <c r="AW1641"/>
      <c r="AX1641"/>
      <c r="AY1641"/>
      <c r="AZ1641"/>
      <c r="BA1641"/>
      <c r="BB1641"/>
      <c r="BC1641"/>
      <c r="BD1641"/>
      <c r="BE1641"/>
      <c r="BF1641"/>
      <c r="BG1641"/>
      <c r="BH1641"/>
      <c r="BI1641"/>
      <c r="BJ1641"/>
      <c r="BK1641"/>
      <c r="BL1641"/>
      <c r="BM1641"/>
      <c r="BN1641"/>
      <c r="BO1641"/>
    </row>
    <row r="1642" spans="3:67" s="1" customFormat="1" hidden="1">
      <c r="C1642" s="14"/>
      <c r="F1642" s="17"/>
      <c r="G1642" s="18"/>
      <c r="T1642" s="9"/>
      <c r="U1642" s="9"/>
      <c r="V1642" s="9"/>
      <c r="AO1642"/>
      <c r="AP1642"/>
      <c r="AQ1642"/>
      <c r="AR1642"/>
      <c r="AS1642"/>
      <c r="AT1642"/>
      <c r="AU1642"/>
      <c r="AV1642"/>
      <c r="AW1642"/>
      <c r="AX1642"/>
      <c r="AY1642"/>
      <c r="AZ1642"/>
      <c r="BA1642"/>
      <c r="BB1642"/>
      <c r="BC1642"/>
      <c r="BD1642"/>
      <c r="BE1642"/>
      <c r="BF1642"/>
      <c r="BG1642"/>
      <c r="BH1642"/>
      <c r="BI1642"/>
      <c r="BJ1642"/>
      <c r="BK1642"/>
      <c r="BL1642"/>
      <c r="BM1642"/>
      <c r="BN1642"/>
      <c r="BO1642"/>
    </row>
    <row r="1643" spans="3:67" s="1" customFormat="1" hidden="1">
      <c r="C1643" s="14"/>
      <c r="F1643" s="17"/>
      <c r="G1643" s="18"/>
      <c r="T1643" s="9"/>
      <c r="U1643" s="9"/>
      <c r="V1643" s="9"/>
      <c r="AO1643"/>
      <c r="AP1643"/>
      <c r="AQ1643"/>
      <c r="AR1643"/>
      <c r="AS1643"/>
      <c r="AT1643"/>
      <c r="AU1643"/>
      <c r="AV1643"/>
      <c r="AW1643"/>
      <c r="AX1643"/>
      <c r="AY1643"/>
      <c r="AZ1643"/>
      <c r="BA1643"/>
      <c r="BB1643"/>
      <c r="BC1643"/>
      <c r="BD1643"/>
      <c r="BE1643"/>
      <c r="BF1643"/>
      <c r="BG1643"/>
      <c r="BH1643"/>
      <c r="BI1643"/>
      <c r="BJ1643"/>
      <c r="BK1643"/>
      <c r="BL1643"/>
      <c r="BM1643"/>
      <c r="BN1643"/>
      <c r="BO1643"/>
    </row>
    <row r="1644" spans="3:67" s="1" customFormat="1" hidden="1">
      <c r="C1644" s="14"/>
      <c r="F1644" s="17"/>
      <c r="G1644" s="18"/>
      <c r="T1644" s="9"/>
      <c r="U1644" s="9"/>
      <c r="V1644" s="9"/>
      <c r="AO1644"/>
      <c r="AP1644"/>
      <c r="AQ1644"/>
      <c r="AR1644"/>
      <c r="AS1644"/>
      <c r="AT1644"/>
      <c r="AU1644"/>
      <c r="AV1644"/>
      <c r="AW1644"/>
      <c r="AX1644"/>
      <c r="AY1644"/>
      <c r="AZ1644"/>
      <c r="BA1644"/>
      <c r="BB1644"/>
      <c r="BC1644"/>
      <c r="BD1644"/>
      <c r="BE1644"/>
      <c r="BF1644"/>
      <c r="BG1644"/>
      <c r="BH1644"/>
      <c r="BI1644"/>
      <c r="BJ1644"/>
      <c r="BK1644"/>
      <c r="BL1644"/>
      <c r="BM1644"/>
      <c r="BN1644"/>
      <c r="BO1644"/>
    </row>
    <row r="1645" spans="3:67" s="1" customFormat="1" hidden="1">
      <c r="C1645" s="14"/>
      <c r="F1645" s="17"/>
      <c r="G1645" s="18"/>
      <c r="T1645" s="9"/>
      <c r="U1645" s="9"/>
      <c r="V1645" s="9"/>
      <c r="AO1645"/>
      <c r="AP1645"/>
      <c r="AQ1645"/>
      <c r="AR1645"/>
      <c r="AS1645"/>
      <c r="AT1645"/>
      <c r="AU1645"/>
      <c r="AV1645"/>
      <c r="AW1645"/>
      <c r="AX1645"/>
      <c r="AY1645"/>
      <c r="AZ1645"/>
      <c r="BA1645"/>
      <c r="BB1645"/>
      <c r="BC1645"/>
      <c r="BD1645"/>
      <c r="BE1645"/>
      <c r="BF1645"/>
      <c r="BG1645"/>
      <c r="BH1645"/>
      <c r="BI1645"/>
      <c r="BJ1645"/>
      <c r="BK1645"/>
      <c r="BL1645"/>
      <c r="BM1645"/>
      <c r="BN1645"/>
      <c r="BO1645"/>
    </row>
    <row r="1646" spans="3:67" s="1" customFormat="1" hidden="1">
      <c r="C1646" s="14"/>
      <c r="F1646" s="17"/>
      <c r="G1646" s="18"/>
      <c r="T1646" s="9"/>
      <c r="U1646" s="9"/>
      <c r="V1646" s="9"/>
      <c r="AO1646"/>
      <c r="AP1646"/>
      <c r="AQ1646"/>
      <c r="AR1646"/>
      <c r="AS1646"/>
      <c r="AT1646"/>
      <c r="AU1646"/>
      <c r="AV1646"/>
      <c r="AW1646"/>
      <c r="AX1646"/>
      <c r="AY1646"/>
      <c r="AZ1646"/>
      <c r="BA1646"/>
      <c r="BB1646"/>
      <c r="BC1646"/>
      <c r="BD1646"/>
      <c r="BE1646"/>
      <c r="BF1646"/>
      <c r="BG1646"/>
      <c r="BH1646"/>
      <c r="BI1646"/>
      <c r="BJ1646"/>
      <c r="BK1646"/>
      <c r="BL1646"/>
      <c r="BM1646"/>
      <c r="BN1646"/>
      <c r="BO1646"/>
    </row>
    <row r="1647" spans="3:67" s="1" customFormat="1" hidden="1">
      <c r="C1647" s="14"/>
      <c r="F1647" s="17"/>
      <c r="G1647" s="18"/>
      <c r="T1647" s="9"/>
      <c r="U1647" s="9"/>
      <c r="V1647" s="9"/>
      <c r="AO1647"/>
      <c r="AP1647"/>
      <c r="AQ1647"/>
      <c r="AR1647"/>
      <c r="AS1647"/>
      <c r="AT1647"/>
      <c r="AU1647"/>
      <c r="AV1647"/>
      <c r="AW1647"/>
      <c r="AX1647"/>
      <c r="AY1647"/>
      <c r="AZ1647"/>
      <c r="BA1647"/>
      <c r="BB1647"/>
      <c r="BC1647"/>
      <c r="BD1647"/>
      <c r="BE1647"/>
      <c r="BF1647"/>
      <c r="BG1647"/>
      <c r="BH1647"/>
      <c r="BI1647"/>
      <c r="BJ1647"/>
      <c r="BK1647"/>
      <c r="BL1647"/>
      <c r="BM1647"/>
      <c r="BN1647"/>
      <c r="BO1647"/>
    </row>
    <row r="1648" spans="3:67" s="1" customFormat="1" hidden="1">
      <c r="C1648" s="14"/>
      <c r="F1648" s="17"/>
      <c r="G1648" s="18"/>
      <c r="T1648" s="9"/>
      <c r="U1648" s="9"/>
      <c r="V1648" s="9"/>
      <c r="AO1648"/>
      <c r="AP1648"/>
      <c r="AQ1648"/>
      <c r="AR1648"/>
      <c r="AS1648"/>
      <c r="AT1648"/>
      <c r="AU1648"/>
      <c r="AV1648"/>
      <c r="AW1648"/>
      <c r="AX1648"/>
      <c r="AY1648"/>
      <c r="AZ1648"/>
      <c r="BA1648"/>
      <c r="BB1648"/>
      <c r="BC1648"/>
      <c r="BD1648"/>
      <c r="BE1648"/>
      <c r="BF1648"/>
      <c r="BG1648"/>
      <c r="BH1648"/>
      <c r="BI1648"/>
      <c r="BJ1648"/>
      <c r="BK1648"/>
      <c r="BL1648"/>
      <c r="BM1648"/>
      <c r="BN1648"/>
      <c r="BO1648"/>
    </row>
    <row r="1649" spans="3:67" s="1" customFormat="1" hidden="1">
      <c r="C1649" s="14"/>
      <c r="F1649" s="17"/>
      <c r="G1649" s="18"/>
      <c r="T1649" s="9"/>
      <c r="U1649" s="9"/>
      <c r="V1649" s="9"/>
      <c r="AO1649"/>
      <c r="AP1649"/>
      <c r="AQ1649"/>
      <c r="AR1649"/>
      <c r="AS1649"/>
      <c r="AT1649"/>
      <c r="AU1649"/>
      <c r="AV1649"/>
      <c r="AW1649"/>
      <c r="AX1649"/>
      <c r="AY1649"/>
      <c r="AZ1649"/>
      <c r="BA1649"/>
      <c r="BB1649"/>
      <c r="BC1649"/>
      <c r="BD1649"/>
      <c r="BE1649"/>
      <c r="BF1649"/>
      <c r="BG1649"/>
      <c r="BH1649"/>
      <c r="BI1649"/>
      <c r="BJ1649"/>
      <c r="BK1649"/>
      <c r="BL1649"/>
      <c r="BM1649"/>
      <c r="BN1649"/>
      <c r="BO1649"/>
    </row>
    <row r="1650" spans="3:67" s="1" customFormat="1" hidden="1">
      <c r="C1650" s="14"/>
      <c r="F1650" s="17"/>
      <c r="G1650" s="18"/>
      <c r="T1650" s="9"/>
      <c r="U1650" s="9"/>
      <c r="V1650" s="9"/>
      <c r="AO1650"/>
      <c r="AP1650"/>
      <c r="AQ1650"/>
      <c r="AR1650"/>
      <c r="AS1650"/>
      <c r="AT1650"/>
      <c r="AU1650"/>
      <c r="AV1650"/>
      <c r="AW1650"/>
      <c r="AX1650"/>
      <c r="AY1650"/>
      <c r="AZ1650"/>
      <c r="BA1650"/>
      <c r="BB1650"/>
      <c r="BC1650"/>
      <c r="BD1650"/>
      <c r="BE1650"/>
      <c r="BF1650"/>
      <c r="BG1650"/>
      <c r="BH1650"/>
      <c r="BI1650"/>
      <c r="BJ1650"/>
      <c r="BK1650"/>
      <c r="BL1650"/>
      <c r="BM1650"/>
      <c r="BN1650"/>
      <c r="BO1650"/>
    </row>
    <row r="1651" spans="3:67" s="1" customFormat="1" hidden="1">
      <c r="C1651" s="14"/>
      <c r="F1651" s="17"/>
      <c r="G1651" s="18"/>
      <c r="T1651" s="9"/>
      <c r="U1651" s="9"/>
      <c r="V1651" s="9"/>
      <c r="AO1651"/>
      <c r="AP1651"/>
      <c r="AQ1651"/>
      <c r="AR1651"/>
      <c r="AS1651"/>
      <c r="AT1651"/>
      <c r="AU1651"/>
      <c r="AV1651"/>
      <c r="AW1651"/>
      <c r="AX1651"/>
      <c r="AY1651"/>
      <c r="AZ1651"/>
      <c r="BA1651"/>
      <c r="BB1651"/>
      <c r="BC1651"/>
      <c r="BD1651"/>
      <c r="BE1651"/>
      <c r="BF1651"/>
      <c r="BG1651"/>
      <c r="BH1651"/>
      <c r="BI1651"/>
      <c r="BJ1651"/>
      <c r="BK1651"/>
      <c r="BL1651"/>
      <c r="BM1651"/>
      <c r="BN1651"/>
      <c r="BO1651"/>
    </row>
    <row r="1652" spans="3:67" s="1" customFormat="1" hidden="1">
      <c r="C1652" s="14"/>
      <c r="F1652" s="17"/>
      <c r="G1652" s="18"/>
      <c r="T1652" s="9"/>
      <c r="U1652" s="9"/>
      <c r="V1652" s="9"/>
      <c r="AO1652"/>
      <c r="AP1652"/>
      <c r="AQ1652"/>
      <c r="AR1652"/>
      <c r="AS1652"/>
      <c r="AT1652"/>
      <c r="AU1652"/>
      <c r="AV1652"/>
      <c r="AW1652"/>
      <c r="AX1652"/>
      <c r="AY1652"/>
      <c r="AZ1652"/>
      <c r="BA1652"/>
      <c r="BB1652"/>
      <c r="BC1652"/>
      <c r="BD1652"/>
      <c r="BE1652"/>
      <c r="BF1652"/>
      <c r="BG1652"/>
      <c r="BH1652"/>
      <c r="BI1652"/>
      <c r="BJ1652"/>
      <c r="BK1652"/>
      <c r="BL1652"/>
      <c r="BM1652"/>
      <c r="BN1652"/>
      <c r="BO1652"/>
    </row>
    <row r="1653" spans="3:67" s="1" customFormat="1" hidden="1">
      <c r="C1653" s="14"/>
      <c r="F1653" s="17"/>
      <c r="G1653" s="18"/>
      <c r="T1653" s="9"/>
      <c r="U1653" s="9"/>
      <c r="V1653" s="9"/>
      <c r="AO1653"/>
      <c r="AP1653"/>
      <c r="AQ1653"/>
      <c r="AR1653"/>
      <c r="AS1653"/>
      <c r="AT1653"/>
      <c r="AU1653"/>
      <c r="AV1653"/>
      <c r="AW1653"/>
      <c r="AX1653"/>
      <c r="AY1653"/>
      <c r="AZ1653"/>
      <c r="BA1653"/>
      <c r="BB1653"/>
      <c r="BC1653"/>
      <c r="BD1653"/>
      <c r="BE1653"/>
      <c r="BF1653"/>
      <c r="BG1653"/>
      <c r="BH1653"/>
      <c r="BI1653"/>
      <c r="BJ1653"/>
      <c r="BK1653"/>
      <c r="BL1653"/>
      <c r="BM1653"/>
      <c r="BN1653"/>
      <c r="BO1653"/>
    </row>
    <row r="1654" spans="3:67" s="1" customFormat="1" hidden="1">
      <c r="C1654" s="14"/>
      <c r="F1654" s="17"/>
      <c r="G1654" s="18"/>
      <c r="T1654" s="9"/>
      <c r="U1654" s="9"/>
      <c r="V1654" s="9"/>
      <c r="AO1654"/>
      <c r="AP1654"/>
      <c r="AQ1654"/>
      <c r="AR1654"/>
      <c r="AS1654"/>
      <c r="AT1654"/>
      <c r="AU1654"/>
      <c r="AV1654"/>
      <c r="AW1654"/>
      <c r="AX1654"/>
      <c r="AY1654"/>
      <c r="AZ1654"/>
      <c r="BA1654"/>
      <c r="BB1654"/>
      <c r="BC1654"/>
      <c r="BD1654"/>
      <c r="BE1654"/>
      <c r="BF1654"/>
      <c r="BG1654"/>
      <c r="BH1654"/>
      <c r="BI1654"/>
      <c r="BJ1654"/>
      <c r="BK1654"/>
      <c r="BL1654"/>
      <c r="BM1654"/>
      <c r="BN1654"/>
      <c r="BO1654"/>
    </row>
    <row r="1655" spans="3:67" s="1" customFormat="1" hidden="1">
      <c r="C1655" s="14"/>
      <c r="F1655" s="17"/>
      <c r="G1655" s="18"/>
      <c r="T1655" s="9"/>
      <c r="U1655" s="9"/>
      <c r="V1655" s="9"/>
      <c r="AO1655"/>
      <c r="AP1655"/>
      <c r="AQ1655"/>
      <c r="AR1655"/>
      <c r="AS1655"/>
      <c r="AT1655"/>
      <c r="AU1655"/>
      <c r="AV1655"/>
      <c r="AW1655"/>
      <c r="AX1655"/>
      <c r="AY1655"/>
      <c r="AZ1655"/>
      <c r="BA1655"/>
      <c r="BB1655"/>
      <c r="BC1655"/>
      <c r="BD1655"/>
      <c r="BE1655"/>
      <c r="BF1655"/>
      <c r="BG1655"/>
      <c r="BH1655"/>
      <c r="BI1655"/>
      <c r="BJ1655"/>
      <c r="BK1655"/>
      <c r="BL1655"/>
      <c r="BM1655"/>
      <c r="BN1655"/>
      <c r="BO1655"/>
    </row>
    <row r="1656" spans="3:67" s="1" customFormat="1" hidden="1">
      <c r="C1656" s="14"/>
      <c r="F1656" s="17"/>
      <c r="G1656" s="18"/>
      <c r="T1656" s="9"/>
      <c r="U1656" s="9"/>
      <c r="V1656" s="9"/>
      <c r="AO1656"/>
      <c r="AP1656"/>
      <c r="AQ1656"/>
      <c r="AR1656"/>
      <c r="AS1656"/>
      <c r="AT1656"/>
      <c r="AU1656"/>
      <c r="AV1656"/>
      <c r="AW1656"/>
      <c r="AX1656"/>
      <c r="AY1656"/>
      <c r="AZ1656"/>
      <c r="BA1656"/>
      <c r="BB1656"/>
      <c r="BC1656"/>
      <c r="BD1656"/>
      <c r="BE1656"/>
      <c r="BF1656"/>
      <c r="BG1656"/>
      <c r="BH1656"/>
      <c r="BI1656"/>
      <c r="BJ1656"/>
      <c r="BK1656"/>
      <c r="BL1656"/>
      <c r="BM1656"/>
      <c r="BN1656"/>
      <c r="BO1656"/>
    </row>
    <row r="1657" spans="3:67" s="1" customFormat="1" hidden="1">
      <c r="C1657" s="14"/>
      <c r="F1657" s="17"/>
      <c r="G1657" s="18"/>
      <c r="T1657" s="9"/>
      <c r="U1657" s="9"/>
      <c r="V1657" s="9"/>
      <c r="AO1657"/>
      <c r="AP1657"/>
      <c r="AQ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/>
      <c r="BN1657"/>
      <c r="BO1657"/>
    </row>
    <row r="1658" spans="3:67" s="1" customFormat="1" hidden="1">
      <c r="C1658" s="14"/>
      <c r="F1658" s="17"/>
      <c r="G1658" s="18"/>
      <c r="T1658" s="9"/>
      <c r="U1658" s="9"/>
      <c r="V1658" s="9"/>
      <c r="AO1658"/>
      <c r="AP1658"/>
      <c r="AQ1658"/>
      <c r="AR1658"/>
      <c r="AS1658"/>
      <c r="AT1658"/>
      <c r="AU1658"/>
      <c r="AV1658"/>
      <c r="AW1658"/>
      <c r="AX1658"/>
      <c r="AY1658"/>
      <c r="AZ1658"/>
      <c r="BA1658"/>
      <c r="BB1658"/>
      <c r="BC1658"/>
      <c r="BD1658"/>
      <c r="BE1658"/>
      <c r="BF1658"/>
      <c r="BG1658"/>
      <c r="BH1658"/>
      <c r="BI1658"/>
      <c r="BJ1658"/>
      <c r="BK1658"/>
      <c r="BL1658"/>
      <c r="BM1658"/>
      <c r="BN1658"/>
      <c r="BO1658"/>
    </row>
    <row r="1659" spans="3:67" s="1" customFormat="1" hidden="1">
      <c r="C1659" s="14"/>
      <c r="F1659" s="17"/>
      <c r="G1659" s="18"/>
      <c r="T1659" s="9"/>
      <c r="U1659" s="9"/>
      <c r="V1659" s="9"/>
      <c r="AO1659"/>
      <c r="AP1659"/>
      <c r="AQ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/>
      <c r="BE1659"/>
      <c r="BF1659"/>
      <c r="BG1659"/>
      <c r="BH1659"/>
      <c r="BI1659"/>
      <c r="BJ1659"/>
      <c r="BK1659"/>
      <c r="BL1659"/>
      <c r="BM1659"/>
      <c r="BN1659"/>
      <c r="BO1659"/>
    </row>
    <row r="1660" spans="3:67" s="1" customFormat="1" hidden="1">
      <c r="C1660" s="14"/>
      <c r="F1660" s="17"/>
      <c r="G1660" s="18"/>
      <c r="T1660" s="9"/>
      <c r="U1660" s="9"/>
      <c r="V1660" s="9"/>
      <c r="AO1660"/>
      <c r="AP1660"/>
      <c r="AQ1660"/>
      <c r="AR1660"/>
      <c r="AS1660"/>
      <c r="AT1660"/>
      <c r="AU1660"/>
      <c r="AV1660"/>
      <c r="AW1660"/>
      <c r="AX1660"/>
      <c r="AY1660"/>
      <c r="AZ1660"/>
      <c r="BA1660"/>
      <c r="BB1660"/>
      <c r="BC1660"/>
      <c r="BD1660"/>
      <c r="BE1660"/>
      <c r="BF1660"/>
      <c r="BG1660"/>
      <c r="BH1660"/>
      <c r="BI1660"/>
      <c r="BJ1660"/>
      <c r="BK1660"/>
      <c r="BL1660"/>
      <c r="BM1660"/>
      <c r="BN1660"/>
      <c r="BO1660"/>
    </row>
    <row r="1661" spans="3:67" s="1" customFormat="1" hidden="1">
      <c r="C1661" s="14"/>
      <c r="F1661" s="17"/>
      <c r="G1661" s="18"/>
      <c r="T1661" s="9"/>
      <c r="U1661" s="9"/>
      <c r="V1661" s="9"/>
      <c r="AO1661"/>
      <c r="AP1661"/>
      <c r="AQ1661"/>
      <c r="AR1661"/>
      <c r="AS1661"/>
      <c r="AT1661"/>
      <c r="AU1661"/>
      <c r="AV1661"/>
      <c r="AW1661"/>
      <c r="AX1661"/>
      <c r="AY1661"/>
      <c r="AZ1661"/>
      <c r="BA1661"/>
      <c r="BB1661"/>
      <c r="BC1661"/>
      <c r="BD1661"/>
      <c r="BE1661"/>
      <c r="BF1661"/>
      <c r="BG1661"/>
      <c r="BH1661"/>
      <c r="BI1661"/>
      <c r="BJ1661"/>
      <c r="BK1661"/>
      <c r="BL1661"/>
      <c r="BM1661"/>
      <c r="BN1661"/>
      <c r="BO1661"/>
    </row>
    <row r="1662" spans="3:67" s="1" customFormat="1" hidden="1">
      <c r="C1662" s="14"/>
      <c r="F1662" s="17"/>
      <c r="G1662" s="18"/>
      <c r="T1662" s="9"/>
      <c r="U1662" s="9"/>
      <c r="V1662" s="9"/>
      <c r="AO1662"/>
      <c r="AP1662"/>
      <c r="AQ1662"/>
      <c r="AR1662"/>
      <c r="AS1662"/>
      <c r="AT1662"/>
      <c r="AU1662"/>
      <c r="AV1662"/>
      <c r="AW1662"/>
      <c r="AX1662"/>
      <c r="AY1662"/>
      <c r="AZ1662"/>
      <c r="BA1662"/>
      <c r="BB1662"/>
      <c r="BC1662"/>
      <c r="BD1662"/>
      <c r="BE1662"/>
      <c r="BF1662"/>
      <c r="BG1662"/>
      <c r="BH1662"/>
      <c r="BI1662"/>
      <c r="BJ1662"/>
      <c r="BK1662"/>
      <c r="BL1662"/>
      <c r="BM1662"/>
      <c r="BN1662"/>
      <c r="BO1662"/>
    </row>
    <row r="1663" spans="3:67" s="1" customFormat="1" hidden="1">
      <c r="C1663" s="14"/>
      <c r="F1663" s="17"/>
      <c r="G1663" s="18"/>
      <c r="T1663" s="9"/>
      <c r="U1663" s="9"/>
      <c r="V1663" s="9"/>
      <c r="AO1663"/>
      <c r="AP1663"/>
      <c r="AQ1663"/>
      <c r="AR1663"/>
      <c r="AS1663"/>
      <c r="AT1663"/>
      <c r="AU1663"/>
      <c r="AV1663"/>
      <c r="AW1663"/>
      <c r="AX1663"/>
      <c r="AY1663"/>
      <c r="AZ1663"/>
      <c r="BA1663"/>
      <c r="BB1663"/>
      <c r="BC1663"/>
      <c r="BD1663"/>
      <c r="BE1663"/>
      <c r="BF1663"/>
      <c r="BG1663"/>
      <c r="BH1663"/>
      <c r="BI1663"/>
      <c r="BJ1663"/>
      <c r="BK1663"/>
      <c r="BL1663"/>
      <c r="BM1663"/>
      <c r="BN1663"/>
      <c r="BO1663"/>
    </row>
    <row r="1664" spans="3:67" s="1" customFormat="1" hidden="1">
      <c r="C1664" s="14"/>
      <c r="F1664" s="17"/>
      <c r="G1664" s="18"/>
      <c r="T1664" s="9"/>
      <c r="U1664" s="9"/>
      <c r="V1664" s="9"/>
      <c r="AO1664"/>
      <c r="AP1664"/>
      <c r="AQ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</row>
    <row r="1665" spans="3:67" s="1" customFormat="1" hidden="1">
      <c r="C1665" s="14"/>
      <c r="F1665" s="17"/>
      <c r="G1665" s="18"/>
      <c r="T1665" s="9"/>
      <c r="U1665" s="9"/>
      <c r="V1665" s="9"/>
      <c r="AO1665"/>
      <c r="AP1665"/>
      <c r="AQ1665"/>
      <c r="AR1665"/>
      <c r="AS1665"/>
      <c r="AT1665"/>
      <c r="AU1665"/>
      <c r="AV1665"/>
      <c r="AW1665"/>
      <c r="AX1665"/>
      <c r="AY1665"/>
      <c r="AZ1665"/>
      <c r="BA1665"/>
      <c r="BB1665"/>
      <c r="BC1665"/>
      <c r="BD1665"/>
      <c r="BE1665"/>
      <c r="BF1665"/>
      <c r="BG1665"/>
      <c r="BH1665"/>
      <c r="BI1665"/>
      <c r="BJ1665"/>
      <c r="BK1665"/>
      <c r="BL1665"/>
      <c r="BM1665"/>
      <c r="BN1665"/>
      <c r="BO1665"/>
    </row>
    <row r="1666" spans="3:67" s="1" customFormat="1" hidden="1">
      <c r="C1666" s="14"/>
      <c r="F1666" s="17"/>
      <c r="G1666" s="18"/>
      <c r="T1666" s="9"/>
      <c r="U1666" s="9"/>
      <c r="V1666" s="9"/>
      <c r="AO1666"/>
      <c r="AP1666"/>
      <c r="AQ1666"/>
      <c r="AR1666"/>
      <c r="AS1666"/>
      <c r="AT1666"/>
      <c r="AU1666"/>
      <c r="AV1666"/>
      <c r="AW1666"/>
      <c r="AX1666"/>
      <c r="AY1666"/>
      <c r="AZ1666"/>
      <c r="BA1666"/>
      <c r="BB1666"/>
      <c r="BC1666"/>
      <c r="BD1666"/>
      <c r="BE1666"/>
      <c r="BF1666"/>
      <c r="BG1666"/>
      <c r="BH1666"/>
      <c r="BI1666"/>
      <c r="BJ1666"/>
      <c r="BK1666"/>
      <c r="BL1666"/>
      <c r="BM1666"/>
      <c r="BN1666"/>
      <c r="BO1666"/>
    </row>
    <row r="1667" spans="3:67" s="1" customFormat="1" hidden="1">
      <c r="C1667" s="14"/>
      <c r="F1667" s="17"/>
      <c r="G1667" s="18"/>
      <c r="T1667" s="9"/>
      <c r="U1667" s="9"/>
      <c r="V1667" s="9"/>
      <c r="AO1667"/>
      <c r="AP1667"/>
      <c r="AQ1667"/>
      <c r="AR1667"/>
      <c r="AS1667"/>
      <c r="AT1667"/>
      <c r="AU1667"/>
      <c r="AV1667"/>
      <c r="AW1667"/>
      <c r="AX1667"/>
      <c r="AY1667"/>
      <c r="AZ1667"/>
      <c r="BA1667"/>
      <c r="BB1667"/>
      <c r="BC1667"/>
      <c r="BD1667"/>
      <c r="BE1667"/>
      <c r="BF1667"/>
      <c r="BG1667"/>
      <c r="BH1667"/>
      <c r="BI1667"/>
      <c r="BJ1667"/>
      <c r="BK1667"/>
      <c r="BL1667"/>
      <c r="BM1667"/>
      <c r="BN1667"/>
      <c r="BO1667"/>
    </row>
    <row r="1668" spans="3:67" s="1" customFormat="1" hidden="1">
      <c r="C1668" s="14"/>
      <c r="F1668" s="17"/>
      <c r="G1668" s="18"/>
      <c r="T1668" s="9"/>
      <c r="U1668" s="9"/>
      <c r="V1668" s="9"/>
      <c r="AO1668"/>
      <c r="AP1668"/>
      <c r="AQ1668"/>
      <c r="AR1668"/>
      <c r="AS1668"/>
      <c r="AT1668"/>
      <c r="AU1668"/>
      <c r="AV1668"/>
      <c r="AW1668"/>
      <c r="AX1668"/>
      <c r="AY1668"/>
      <c r="AZ1668"/>
      <c r="BA1668"/>
      <c r="BB1668"/>
      <c r="BC1668"/>
      <c r="BD1668"/>
      <c r="BE1668"/>
      <c r="BF1668"/>
      <c r="BG1668"/>
      <c r="BH1668"/>
      <c r="BI1668"/>
      <c r="BJ1668"/>
      <c r="BK1668"/>
      <c r="BL1668"/>
      <c r="BM1668"/>
      <c r="BN1668"/>
      <c r="BO1668"/>
    </row>
    <row r="1669" spans="3:67" s="1" customFormat="1" hidden="1">
      <c r="C1669" s="14"/>
      <c r="F1669" s="17"/>
      <c r="G1669" s="18"/>
      <c r="T1669" s="9"/>
      <c r="U1669" s="9"/>
      <c r="V1669" s="9"/>
      <c r="AO1669"/>
      <c r="AP1669"/>
      <c r="AQ1669"/>
      <c r="AR1669"/>
      <c r="AS1669"/>
      <c r="AT1669"/>
      <c r="AU1669"/>
      <c r="AV1669"/>
      <c r="AW1669"/>
      <c r="AX1669"/>
      <c r="AY1669"/>
      <c r="AZ1669"/>
      <c r="BA1669"/>
      <c r="BB1669"/>
      <c r="BC1669"/>
      <c r="BD1669"/>
      <c r="BE1669"/>
      <c r="BF1669"/>
      <c r="BG1669"/>
      <c r="BH1669"/>
      <c r="BI1669"/>
      <c r="BJ1669"/>
      <c r="BK1669"/>
      <c r="BL1669"/>
      <c r="BM1669"/>
      <c r="BN1669"/>
      <c r="BO1669"/>
    </row>
    <row r="1670" spans="3:67" s="1" customFormat="1" hidden="1">
      <c r="C1670" s="14"/>
      <c r="F1670" s="17"/>
      <c r="G1670" s="18"/>
      <c r="T1670" s="9"/>
      <c r="U1670" s="9"/>
      <c r="V1670" s="9"/>
      <c r="AO1670"/>
      <c r="AP1670"/>
      <c r="AQ1670"/>
      <c r="AR1670"/>
      <c r="AS1670"/>
      <c r="AT1670"/>
      <c r="AU1670"/>
      <c r="AV1670"/>
      <c r="AW1670"/>
      <c r="AX1670"/>
      <c r="AY1670"/>
      <c r="AZ1670"/>
      <c r="BA1670"/>
      <c r="BB1670"/>
      <c r="BC1670"/>
      <c r="BD1670"/>
      <c r="BE1670"/>
      <c r="BF1670"/>
      <c r="BG1670"/>
      <c r="BH1670"/>
      <c r="BI1670"/>
      <c r="BJ1670"/>
      <c r="BK1670"/>
      <c r="BL1670"/>
      <c r="BM1670"/>
      <c r="BN1670"/>
      <c r="BO1670"/>
    </row>
    <row r="1671" spans="3:67" s="1" customFormat="1" hidden="1">
      <c r="C1671" s="14"/>
      <c r="F1671" s="17"/>
      <c r="G1671" s="18"/>
      <c r="T1671" s="9"/>
      <c r="U1671" s="9"/>
      <c r="V1671" s="9"/>
      <c r="AO1671"/>
      <c r="AP1671"/>
      <c r="AQ1671"/>
      <c r="AR1671"/>
      <c r="AS1671"/>
      <c r="AT1671"/>
      <c r="AU1671"/>
      <c r="AV1671"/>
      <c r="AW1671"/>
      <c r="AX1671"/>
      <c r="AY1671"/>
      <c r="AZ1671"/>
      <c r="BA1671"/>
      <c r="BB1671"/>
      <c r="BC1671"/>
      <c r="BD1671"/>
      <c r="BE1671"/>
      <c r="BF1671"/>
      <c r="BG1671"/>
      <c r="BH1671"/>
      <c r="BI1671"/>
      <c r="BJ1671"/>
      <c r="BK1671"/>
      <c r="BL1671"/>
      <c r="BM1671"/>
      <c r="BN1671"/>
      <c r="BO1671"/>
    </row>
    <row r="1672" spans="3:67" s="1" customFormat="1" hidden="1">
      <c r="C1672" s="14"/>
      <c r="F1672" s="17"/>
      <c r="G1672" s="18"/>
      <c r="T1672" s="9"/>
      <c r="U1672" s="9"/>
      <c r="V1672" s="9"/>
      <c r="AO1672"/>
      <c r="AP1672"/>
      <c r="AQ1672"/>
      <c r="AR1672"/>
      <c r="AS1672"/>
      <c r="AT1672"/>
      <c r="AU1672"/>
      <c r="AV1672"/>
      <c r="AW1672"/>
      <c r="AX1672"/>
      <c r="AY1672"/>
      <c r="AZ1672"/>
      <c r="BA1672"/>
      <c r="BB1672"/>
      <c r="BC1672"/>
      <c r="BD1672"/>
      <c r="BE1672"/>
      <c r="BF1672"/>
      <c r="BG1672"/>
      <c r="BH1672"/>
      <c r="BI1672"/>
      <c r="BJ1672"/>
      <c r="BK1672"/>
      <c r="BL1672"/>
      <c r="BM1672"/>
      <c r="BN1672"/>
      <c r="BO1672"/>
    </row>
    <row r="1673" spans="3:67" s="1" customFormat="1" hidden="1">
      <c r="C1673" s="14"/>
      <c r="F1673" s="17"/>
      <c r="G1673" s="18"/>
      <c r="T1673" s="9"/>
      <c r="U1673" s="9"/>
      <c r="V1673" s="9"/>
      <c r="AO1673"/>
      <c r="AP1673"/>
      <c r="AQ1673"/>
      <c r="AR1673"/>
      <c r="AS1673"/>
      <c r="AT1673"/>
      <c r="AU1673"/>
      <c r="AV1673"/>
      <c r="AW1673"/>
      <c r="AX1673"/>
      <c r="AY1673"/>
      <c r="AZ1673"/>
      <c r="BA1673"/>
      <c r="BB1673"/>
      <c r="BC1673"/>
      <c r="BD1673"/>
      <c r="BE1673"/>
      <c r="BF1673"/>
      <c r="BG1673"/>
      <c r="BH1673"/>
      <c r="BI1673"/>
      <c r="BJ1673"/>
      <c r="BK1673"/>
      <c r="BL1673"/>
      <c r="BM1673"/>
      <c r="BN1673"/>
      <c r="BO1673"/>
    </row>
    <row r="1674" spans="3:67" s="1" customFormat="1" hidden="1">
      <c r="C1674" s="14"/>
      <c r="F1674" s="17"/>
      <c r="G1674" s="18"/>
      <c r="T1674" s="9"/>
      <c r="U1674" s="9"/>
      <c r="V1674" s="9"/>
      <c r="AO1674"/>
      <c r="AP1674"/>
      <c r="AQ1674"/>
      <c r="AR1674"/>
      <c r="AS1674"/>
      <c r="AT1674"/>
      <c r="AU1674"/>
      <c r="AV1674"/>
      <c r="AW1674"/>
      <c r="AX1674"/>
      <c r="AY1674"/>
      <c r="AZ1674"/>
      <c r="BA1674"/>
      <c r="BB1674"/>
      <c r="BC1674"/>
      <c r="BD1674"/>
      <c r="BE1674"/>
      <c r="BF1674"/>
      <c r="BG1674"/>
      <c r="BH1674"/>
      <c r="BI1674"/>
      <c r="BJ1674"/>
      <c r="BK1674"/>
      <c r="BL1674"/>
      <c r="BM1674"/>
      <c r="BN1674"/>
      <c r="BO1674"/>
    </row>
    <row r="1675" spans="3:67" s="1" customFormat="1" hidden="1">
      <c r="C1675" s="14"/>
      <c r="F1675" s="17"/>
      <c r="G1675" s="18"/>
      <c r="T1675" s="9"/>
      <c r="U1675" s="9"/>
      <c r="V1675" s="9"/>
      <c r="AO1675"/>
      <c r="AP1675"/>
      <c r="AQ1675"/>
      <c r="AR1675"/>
      <c r="AS1675"/>
      <c r="AT1675"/>
      <c r="AU1675"/>
      <c r="AV1675"/>
      <c r="AW1675"/>
      <c r="AX1675"/>
      <c r="AY1675"/>
      <c r="AZ1675"/>
      <c r="BA1675"/>
      <c r="BB1675"/>
      <c r="BC1675"/>
      <c r="BD1675"/>
      <c r="BE1675"/>
      <c r="BF1675"/>
      <c r="BG1675"/>
      <c r="BH1675"/>
      <c r="BI1675"/>
      <c r="BJ1675"/>
      <c r="BK1675"/>
      <c r="BL1675"/>
      <c r="BM1675"/>
      <c r="BN1675"/>
      <c r="BO1675"/>
    </row>
    <row r="1676" spans="3:67" s="1" customFormat="1" hidden="1">
      <c r="C1676" s="14"/>
      <c r="F1676" s="17"/>
      <c r="G1676" s="18"/>
      <c r="T1676" s="9"/>
      <c r="U1676" s="9"/>
      <c r="V1676" s="9"/>
      <c r="AO1676"/>
      <c r="AP1676"/>
      <c r="AQ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/>
      <c r="BN1676"/>
      <c r="BO1676"/>
    </row>
    <row r="1677" spans="3:67" s="1" customFormat="1" hidden="1">
      <c r="C1677" s="14"/>
      <c r="F1677" s="17"/>
      <c r="G1677" s="18"/>
      <c r="T1677" s="9"/>
      <c r="U1677" s="9"/>
      <c r="V1677" s="9"/>
      <c r="AO1677"/>
      <c r="AP1677"/>
      <c r="AQ1677"/>
      <c r="AR1677"/>
      <c r="AS1677"/>
      <c r="AT1677"/>
      <c r="AU1677"/>
      <c r="AV1677"/>
      <c r="AW1677"/>
      <c r="AX1677"/>
      <c r="AY1677"/>
      <c r="AZ1677"/>
      <c r="BA1677"/>
      <c r="BB1677"/>
      <c r="BC1677"/>
      <c r="BD1677"/>
      <c r="BE1677"/>
      <c r="BF1677"/>
      <c r="BG1677"/>
      <c r="BH1677"/>
      <c r="BI1677"/>
      <c r="BJ1677"/>
      <c r="BK1677"/>
      <c r="BL1677"/>
      <c r="BM1677"/>
      <c r="BN1677"/>
      <c r="BO1677"/>
    </row>
    <row r="1678" spans="3:67" s="1" customFormat="1" hidden="1">
      <c r="C1678" s="14"/>
      <c r="F1678" s="17"/>
      <c r="G1678" s="18"/>
      <c r="T1678" s="9"/>
      <c r="U1678" s="9"/>
      <c r="V1678" s="9"/>
      <c r="AO1678"/>
      <c r="AP1678"/>
      <c r="AQ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</row>
    <row r="1679" spans="3:67" s="1" customFormat="1" hidden="1">
      <c r="C1679" s="14"/>
      <c r="F1679" s="17"/>
      <c r="G1679" s="18"/>
      <c r="T1679" s="9"/>
      <c r="U1679" s="9"/>
      <c r="V1679" s="9"/>
      <c r="AO1679"/>
      <c r="AP1679"/>
      <c r="AQ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/>
      <c r="BN1679"/>
      <c r="BO1679"/>
    </row>
    <row r="1680" spans="3:67" s="1" customFormat="1" hidden="1">
      <c r="C1680" s="14"/>
      <c r="F1680" s="17"/>
      <c r="G1680" s="18"/>
      <c r="T1680" s="9"/>
      <c r="U1680" s="9"/>
      <c r="V1680" s="9"/>
      <c r="AO1680"/>
      <c r="AP1680"/>
      <c r="AQ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</row>
    <row r="1681" spans="3:67" s="1" customFormat="1" hidden="1">
      <c r="C1681" s="14"/>
      <c r="F1681" s="17"/>
      <c r="G1681" s="18"/>
      <c r="T1681" s="9"/>
      <c r="U1681" s="9"/>
      <c r="V1681" s="9"/>
      <c r="AO1681"/>
      <c r="AP1681"/>
      <c r="AQ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/>
      <c r="BN1681"/>
      <c r="BO1681"/>
    </row>
    <row r="1682" spans="3:67" s="1" customFormat="1" hidden="1">
      <c r="C1682" s="14"/>
      <c r="F1682" s="17"/>
      <c r="G1682" s="18"/>
      <c r="T1682" s="9"/>
      <c r="U1682" s="9"/>
      <c r="V1682" s="9"/>
      <c r="AO1682"/>
      <c r="AP1682"/>
      <c r="AQ1682"/>
      <c r="AR1682"/>
      <c r="AS1682"/>
      <c r="AT1682"/>
      <c r="AU1682"/>
      <c r="AV1682"/>
      <c r="AW1682"/>
      <c r="AX1682"/>
      <c r="AY1682"/>
      <c r="AZ1682"/>
      <c r="BA1682"/>
      <c r="BB1682"/>
      <c r="BC1682"/>
      <c r="BD1682"/>
      <c r="BE1682"/>
      <c r="BF1682"/>
      <c r="BG1682"/>
      <c r="BH1682"/>
      <c r="BI1682"/>
      <c r="BJ1682"/>
      <c r="BK1682"/>
      <c r="BL1682"/>
      <c r="BM1682"/>
      <c r="BN1682"/>
      <c r="BO1682"/>
    </row>
    <row r="1683" spans="3:67" s="1" customFormat="1" hidden="1">
      <c r="C1683" s="14"/>
      <c r="F1683" s="17"/>
      <c r="G1683" s="18"/>
      <c r="T1683" s="9"/>
      <c r="U1683" s="9"/>
      <c r="V1683" s="9"/>
      <c r="AO1683"/>
      <c r="AP1683"/>
      <c r="AQ1683"/>
      <c r="AR1683"/>
      <c r="AS1683"/>
      <c r="AT1683"/>
      <c r="AU1683"/>
      <c r="AV1683"/>
      <c r="AW1683"/>
      <c r="AX1683"/>
      <c r="AY1683"/>
      <c r="AZ1683"/>
      <c r="BA1683"/>
      <c r="BB1683"/>
      <c r="BC1683"/>
      <c r="BD1683"/>
      <c r="BE1683"/>
      <c r="BF1683"/>
      <c r="BG1683"/>
      <c r="BH1683"/>
      <c r="BI1683"/>
      <c r="BJ1683"/>
      <c r="BK1683"/>
      <c r="BL1683"/>
      <c r="BM1683"/>
      <c r="BN1683"/>
      <c r="BO1683"/>
    </row>
    <row r="1684" spans="3:67" s="1" customFormat="1" hidden="1">
      <c r="C1684" s="14"/>
      <c r="F1684" s="17"/>
      <c r="G1684" s="18"/>
      <c r="T1684" s="9"/>
      <c r="U1684" s="9"/>
      <c r="V1684" s="9"/>
      <c r="AO1684"/>
      <c r="AP1684"/>
      <c r="AQ1684"/>
      <c r="AR1684"/>
      <c r="AS1684"/>
      <c r="AT1684"/>
      <c r="AU1684"/>
      <c r="AV1684"/>
      <c r="AW1684"/>
      <c r="AX1684"/>
      <c r="AY1684"/>
      <c r="AZ1684"/>
      <c r="BA1684"/>
      <c r="BB1684"/>
      <c r="BC1684"/>
      <c r="BD1684"/>
      <c r="BE1684"/>
      <c r="BF1684"/>
      <c r="BG1684"/>
      <c r="BH1684"/>
      <c r="BI1684"/>
      <c r="BJ1684"/>
      <c r="BK1684"/>
      <c r="BL1684"/>
      <c r="BM1684"/>
      <c r="BN1684"/>
      <c r="BO1684"/>
    </row>
    <row r="1685" spans="3:67" s="1" customFormat="1" hidden="1">
      <c r="C1685" s="14"/>
      <c r="F1685" s="17"/>
      <c r="G1685" s="18"/>
      <c r="T1685" s="9"/>
      <c r="U1685" s="9"/>
      <c r="V1685" s="9"/>
      <c r="AO1685"/>
      <c r="AP1685"/>
      <c r="AQ1685"/>
      <c r="AR1685"/>
      <c r="AS1685"/>
      <c r="AT1685"/>
      <c r="AU1685"/>
      <c r="AV1685"/>
      <c r="AW1685"/>
      <c r="AX1685"/>
      <c r="AY1685"/>
      <c r="AZ1685"/>
      <c r="BA1685"/>
      <c r="BB1685"/>
      <c r="BC1685"/>
      <c r="BD1685"/>
      <c r="BE1685"/>
      <c r="BF1685"/>
      <c r="BG1685"/>
      <c r="BH1685"/>
      <c r="BI1685"/>
      <c r="BJ1685"/>
      <c r="BK1685"/>
      <c r="BL1685"/>
      <c r="BM1685"/>
      <c r="BN1685"/>
      <c r="BO1685"/>
    </row>
    <row r="1686" spans="3:67" s="1" customFormat="1" hidden="1">
      <c r="C1686" s="14"/>
      <c r="F1686" s="17"/>
      <c r="G1686" s="18"/>
      <c r="T1686" s="9"/>
      <c r="U1686" s="9"/>
      <c r="V1686" s="9"/>
      <c r="AO1686"/>
      <c r="AP1686"/>
      <c r="AQ1686"/>
      <c r="AR1686"/>
      <c r="AS1686"/>
      <c r="AT1686"/>
      <c r="AU1686"/>
      <c r="AV1686"/>
      <c r="AW1686"/>
      <c r="AX1686"/>
      <c r="AY1686"/>
      <c r="AZ1686"/>
      <c r="BA1686"/>
      <c r="BB1686"/>
      <c r="BC1686"/>
      <c r="BD1686"/>
      <c r="BE1686"/>
      <c r="BF1686"/>
      <c r="BG1686"/>
      <c r="BH1686"/>
      <c r="BI1686"/>
      <c r="BJ1686"/>
      <c r="BK1686"/>
      <c r="BL1686"/>
      <c r="BM1686"/>
      <c r="BN1686"/>
      <c r="BO1686"/>
    </row>
    <row r="1687" spans="3:67" s="1" customFormat="1" hidden="1">
      <c r="C1687" s="14"/>
      <c r="F1687" s="17"/>
      <c r="G1687" s="18"/>
      <c r="T1687" s="9"/>
      <c r="U1687" s="9"/>
      <c r="V1687" s="9"/>
      <c r="AO1687"/>
      <c r="AP1687"/>
      <c r="AQ1687"/>
      <c r="AR1687"/>
      <c r="AS1687"/>
      <c r="AT1687"/>
      <c r="AU1687"/>
      <c r="AV1687"/>
      <c r="AW1687"/>
      <c r="AX1687"/>
      <c r="AY1687"/>
      <c r="AZ1687"/>
      <c r="BA1687"/>
      <c r="BB1687"/>
      <c r="BC1687"/>
      <c r="BD1687"/>
      <c r="BE1687"/>
      <c r="BF1687"/>
      <c r="BG1687"/>
      <c r="BH1687"/>
      <c r="BI1687"/>
      <c r="BJ1687"/>
      <c r="BK1687"/>
      <c r="BL1687"/>
      <c r="BM1687"/>
      <c r="BN1687"/>
      <c r="BO1687"/>
    </row>
    <row r="1688" spans="3:67" s="1" customFormat="1" hidden="1">
      <c r="C1688" s="14"/>
      <c r="F1688" s="17"/>
      <c r="G1688" s="18"/>
      <c r="T1688" s="9"/>
      <c r="U1688" s="9"/>
      <c r="V1688" s="9"/>
      <c r="AO1688"/>
      <c r="AP1688"/>
      <c r="AQ1688"/>
      <c r="AR1688"/>
      <c r="AS1688"/>
      <c r="AT1688"/>
      <c r="AU1688"/>
      <c r="AV1688"/>
      <c r="AW1688"/>
      <c r="AX1688"/>
      <c r="AY1688"/>
      <c r="AZ1688"/>
      <c r="BA1688"/>
      <c r="BB1688"/>
      <c r="BC1688"/>
      <c r="BD1688"/>
      <c r="BE1688"/>
      <c r="BF1688"/>
      <c r="BG1688"/>
      <c r="BH1688"/>
      <c r="BI1688"/>
      <c r="BJ1688"/>
      <c r="BK1688"/>
      <c r="BL1688"/>
      <c r="BM1688"/>
      <c r="BN1688"/>
      <c r="BO1688"/>
    </row>
    <row r="1689" spans="3:67" s="1" customFormat="1" hidden="1">
      <c r="C1689" s="14"/>
      <c r="F1689" s="17"/>
      <c r="G1689" s="18"/>
      <c r="T1689" s="9"/>
      <c r="U1689" s="9"/>
      <c r="V1689" s="9"/>
      <c r="AO1689"/>
      <c r="AP1689"/>
      <c r="AQ1689"/>
      <c r="AR1689"/>
      <c r="AS1689"/>
      <c r="AT1689"/>
      <c r="AU1689"/>
      <c r="AV1689"/>
      <c r="AW1689"/>
      <c r="AX1689"/>
      <c r="AY1689"/>
      <c r="AZ1689"/>
      <c r="BA1689"/>
      <c r="BB1689"/>
      <c r="BC1689"/>
      <c r="BD1689"/>
      <c r="BE1689"/>
      <c r="BF1689"/>
      <c r="BG1689"/>
      <c r="BH1689"/>
      <c r="BI1689"/>
      <c r="BJ1689"/>
      <c r="BK1689"/>
      <c r="BL1689"/>
      <c r="BM1689"/>
      <c r="BN1689"/>
      <c r="BO1689"/>
    </row>
    <row r="1690" spans="3:67" s="1" customFormat="1" hidden="1">
      <c r="C1690" s="14"/>
      <c r="F1690" s="17"/>
      <c r="G1690" s="18"/>
      <c r="T1690" s="9"/>
      <c r="U1690" s="9"/>
      <c r="V1690" s="9"/>
      <c r="AO1690"/>
      <c r="AP1690"/>
      <c r="AQ1690"/>
      <c r="AR1690"/>
      <c r="AS1690"/>
      <c r="AT1690"/>
      <c r="AU1690"/>
      <c r="AV1690"/>
      <c r="AW1690"/>
      <c r="AX1690"/>
      <c r="AY1690"/>
      <c r="AZ1690"/>
      <c r="BA1690"/>
      <c r="BB1690"/>
      <c r="BC1690"/>
      <c r="BD1690"/>
      <c r="BE1690"/>
      <c r="BF1690"/>
      <c r="BG1690"/>
      <c r="BH1690"/>
      <c r="BI1690"/>
      <c r="BJ1690"/>
      <c r="BK1690"/>
      <c r="BL1690"/>
      <c r="BM1690"/>
      <c r="BN1690"/>
      <c r="BO1690"/>
    </row>
    <row r="1691" spans="3:67" s="1" customFormat="1" hidden="1">
      <c r="C1691" s="14"/>
      <c r="F1691" s="17"/>
      <c r="G1691" s="18"/>
      <c r="T1691" s="9"/>
      <c r="U1691" s="9"/>
      <c r="V1691" s="9"/>
      <c r="AO1691"/>
      <c r="AP1691"/>
      <c r="AQ1691"/>
      <c r="AR1691"/>
      <c r="AS1691"/>
      <c r="AT1691"/>
      <c r="AU1691"/>
      <c r="AV1691"/>
      <c r="AW1691"/>
      <c r="AX1691"/>
      <c r="AY1691"/>
      <c r="AZ1691"/>
      <c r="BA1691"/>
      <c r="BB1691"/>
      <c r="BC1691"/>
      <c r="BD1691"/>
      <c r="BE1691"/>
      <c r="BF1691"/>
      <c r="BG1691"/>
      <c r="BH1691"/>
      <c r="BI1691"/>
      <c r="BJ1691"/>
      <c r="BK1691"/>
      <c r="BL1691"/>
      <c r="BM1691"/>
      <c r="BN1691"/>
      <c r="BO1691"/>
    </row>
    <row r="1692" spans="3:67" s="1" customFormat="1" hidden="1">
      <c r="C1692" s="14"/>
      <c r="F1692" s="17"/>
      <c r="G1692" s="18"/>
      <c r="T1692" s="9"/>
      <c r="U1692" s="9"/>
      <c r="V1692" s="9"/>
      <c r="AO1692"/>
      <c r="AP1692"/>
      <c r="AQ1692"/>
      <c r="AR1692"/>
      <c r="AS1692"/>
      <c r="AT1692"/>
      <c r="AU1692"/>
      <c r="AV1692"/>
      <c r="AW1692"/>
      <c r="AX1692"/>
      <c r="AY1692"/>
      <c r="AZ1692"/>
      <c r="BA1692"/>
      <c r="BB1692"/>
      <c r="BC1692"/>
      <c r="BD1692"/>
      <c r="BE1692"/>
      <c r="BF1692"/>
      <c r="BG1692"/>
      <c r="BH1692"/>
      <c r="BI1692"/>
      <c r="BJ1692"/>
      <c r="BK1692"/>
      <c r="BL1692"/>
      <c r="BM1692"/>
      <c r="BN1692"/>
      <c r="BO1692"/>
    </row>
    <row r="1693" spans="3:67" s="1" customFormat="1" hidden="1">
      <c r="C1693" s="14"/>
      <c r="F1693" s="17"/>
      <c r="G1693" s="18"/>
      <c r="T1693" s="9"/>
      <c r="U1693" s="9"/>
      <c r="V1693" s="9"/>
      <c r="AO1693"/>
      <c r="AP1693"/>
      <c r="AQ1693"/>
      <c r="AR1693"/>
      <c r="AS1693"/>
      <c r="AT1693"/>
      <c r="AU1693"/>
      <c r="AV1693"/>
      <c r="AW1693"/>
      <c r="AX1693"/>
      <c r="AY1693"/>
      <c r="AZ1693"/>
      <c r="BA1693"/>
      <c r="BB1693"/>
      <c r="BC1693"/>
      <c r="BD1693"/>
      <c r="BE1693"/>
      <c r="BF1693"/>
      <c r="BG1693"/>
      <c r="BH1693"/>
      <c r="BI1693"/>
      <c r="BJ1693"/>
      <c r="BK1693"/>
      <c r="BL1693"/>
      <c r="BM1693"/>
      <c r="BN1693"/>
      <c r="BO1693"/>
    </row>
    <row r="1694" spans="3:67" s="1" customFormat="1" hidden="1">
      <c r="C1694" s="14"/>
      <c r="F1694" s="17"/>
      <c r="G1694" s="18"/>
      <c r="T1694" s="9"/>
      <c r="U1694" s="9"/>
      <c r="V1694" s="9"/>
      <c r="AO1694"/>
      <c r="AP1694"/>
      <c r="AQ1694"/>
      <c r="AR1694"/>
      <c r="AS1694"/>
      <c r="AT1694"/>
      <c r="AU1694"/>
      <c r="AV1694"/>
      <c r="AW1694"/>
      <c r="AX1694"/>
      <c r="AY1694"/>
      <c r="AZ1694"/>
      <c r="BA1694"/>
      <c r="BB1694"/>
      <c r="BC1694"/>
      <c r="BD1694"/>
      <c r="BE1694"/>
      <c r="BF1694"/>
      <c r="BG1694"/>
      <c r="BH1694"/>
      <c r="BI1694"/>
      <c r="BJ1694"/>
      <c r="BK1694"/>
      <c r="BL1694"/>
      <c r="BM1694"/>
      <c r="BN1694"/>
      <c r="BO1694"/>
    </row>
    <row r="1695" spans="3:67" s="1" customFormat="1" hidden="1">
      <c r="C1695" s="14"/>
      <c r="F1695" s="17"/>
      <c r="G1695" s="18"/>
      <c r="T1695" s="9"/>
      <c r="U1695" s="9"/>
      <c r="V1695" s="9"/>
      <c r="AO1695"/>
      <c r="AP1695"/>
      <c r="AQ1695"/>
      <c r="AR1695"/>
      <c r="AS1695"/>
      <c r="AT1695"/>
      <c r="AU1695"/>
      <c r="AV1695"/>
      <c r="AW1695"/>
      <c r="AX1695"/>
      <c r="AY1695"/>
      <c r="AZ1695"/>
      <c r="BA1695"/>
      <c r="BB1695"/>
      <c r="BC1695"/>
      <c r="BD1695"/>
      <c r="BE1695"/>
      <c r="BF1695"/>
      <c r="BG1695"/>
      <c r="BH1695"/>
      <c r="BI1695"/>
      <c r="BJ1695"/>
      <c r="BK1695"/>
      <c r="BL1695"/>
      <c r="BM1695"/>
      <c r="BN1695"/>
      <c r="BO1695"/>
    </row>
    <row r="1696" spans="3:67" s="1" customFormat="1" hidden="1">
      <c r="C1696" s="14"/>
      <c r="F1696" s="17"/>
      <c r="G1696" s="18"/>
      <c r="T1696" s="9"/>
      <c r="U1696" s="9"/>
      <c r="V1696" s="9"/>
      <c r="AO1696"/>
      <c r="AP1696"/>
      <c r="AQ1696"/>
      <c r="AR1696"/>
      <c r="AS1696"/>
      <c r="AT1696"/>
      <c r="AU1696"/>
      <c r="AV1696"/>
      <c r="AW1696"/>
      <c r="AX1696"/>
      <c r="AY1696"/>
      <c r="AZ1696"/>
      <c r="BA1696"/>
      <c r="BB1696"/>
      <c r="BC1696"/>
      <c r="BD1696"/>
      <c r="BE1696"/>
      <c r="BF1696"/>
      <c r="BG1696"/>
      <c r="BH1696"/>
      <c r="BI1696"/>
      <c r="BJ1696"/>
      <c r="BK1696"/>
      <c r="BL1696"/>
      <c r="BM1696"/>
      <c r="BN1696"/>
      <c r="BO1696"/>
    </row>
    <row r="1697" spans="3:67" s="1" customFormat="1" hidden="1">
      <c r="C1697" s="14"/>
      <c r="F1697" s="17"/>
      <c r="G1697" s="18"/>
      <c r="T1697" s="9"/>
      <c r="U1697" s="9"/>
      <c r="V1697" s="9"/>
      <c r="AO1697"/>
      <c r="AP1697"/>
      <c r="AQ1697"/>
      <c r="AR1697"/>
      <c r="AS1697"/>
      <c r="AT1697"/>
      <c r="AU1697"/>
      <c r="AV1697"/>
      <c r="AW1697"/>
      <c r="AX1697"/>
      <c r="AY1697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/>
      <c r="BN1697"/>
      <c r="BO1697"/>
    </row>
    <row r="1698" spans="3:67" s="1" customFormat="1" hidden="1">
      <c r="C1698" s="14"/>
      <c r="F1698" s="17"/>
      <c r="G1698" s="18"/>
      <c r="T1698" s="9"/>
      <c r="U1698" s="9"/>
      <c r="V1698" s="9"/>
      <c r="AO1698"/>
      <c r="AP1698"/>
      <c r="AQ1698"/>
      <c r="AR1698"/>
      <c r="AS1698"/>
      <c r="AT1698"/>
      <c r="AU1698"/>
      <c r="AV1698"/>
      <c r="AW1698"/>
      <c r="AX1698"/>
      <c r="AY1698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/>
      <c r="BN1698"/>
      <c r="BO1698"/>
    </row>
    <row r="1699" spans="3:67" s="1" customFormat="1" hidden="1">
      <c r="C1699" s="14"/>
      <c r="F1699" s="17"/>
      <c r="G1699" s="18"/>
      <c r="T1699" s="9"/>
      <c r="U1699" s="9"/>
      <c r="V1699" s="9"/>
      <c r="AO1699"/>
      <c r="AP1699"/>
      <c r="AQ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</row>
    <row r="1700" spans="3:67" s="1" customFormat="1" hidden="1">
      <c r="C1700" s="14"/>
      <c r="F1700" s="17"/>
      <c r="G1700" s="18"/>
      <c r="T1700" s="9"/>
      <c r="U1700" s="9"/>
      <c r="V1700" s="9"/>
      <c r="AO1700"/>
      <c r="AP1700"/>
      <c r="AQ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/>
      <c r="BN1700"/>
      <c r="BO1700"/>
    </row>
    <row r="1701" spans="3:67" s="1" customFormat="1" hidden="1">
      <c r="C1701" s="14"/>
      <c r="F1701" s="17"/>
      <c r="G1701" s="18"/>
      <c r="T1701" s="9"/>
      <c r="U1701" s="9"/>
      <c r="V1701" s="9"/>
      <c r="AO1701"/>
      <c r="AP1701"/>
      <c r="AQ1701"/>
      <c r="AR1701"/>
      <c r="AS1701"/>
      <c r="AT1701"/>
      <c r="AU1701"/>
      <c r="AV1701"/>
      <c r="AW1701"/>
      <c r="AX1701"/>
      <c r="AY1701"/>
      <c r="AZ1701"/>
      <c r="BA1701"/>
      <c r="BB1701"/>
      <c r="BC1701"/>
      <c r="BD1701"/>
      <c r="BE1701"/>
      <c r="BF1701"/>
      <c r="BG1701"/>
      <c r="BH1701"/>
      <c r="BI1701"/>
      <c r="BJ1701"/>
      <c r="BK1701"/>
      <c r="BL1701"/>
      <c r="BM1701"/>
      <c r="BN1701"/>
      <c r="BO1701"/>
    </row>
    <row r="1702" spans="3:67" s="1" customFormat="1" hidden="1">
      <c r="C1702" s="14"/>
      <c r="F1702" s="17"/>
      <c r="G1702" s="18"/>
      <c r="T1702" s="9"/>
      <c r="U1702" s="9"/>
      <c r="V1702" s="9"/>
      <c r="AO1702"/>
      <c r="AP1702"/>
      <c r="AQ1702"/>
      <c r="AR1702"/>
      <c r="AS1702"/>
      <c r="AT1702"/>
      <c r="AU1702"/>
      <c r="AV1702"/>
      <c r="AW1702"/>
      <c r="AX1702"/>
      <c r="AY1702"/>
      <c r="AZ1702"/>
      <c r="BA1702"/>
      <c r="BB1702"/>
      <c r="BC1702"/>
      <c r="BD1702"/>
      <c r="BE1702"/>
      <c r="BF1702"/>
      <c r="BG1702"/>
      <c r="BH1702"/>
      <c r="BI1702"/>
      <c r="BJ1702"/>
      <c r="BK1702"/>
      <c r="BL1702"/>
      <c r="BM1702"/>
      <c r="BN1702"/>
      <c r="BO1702"/>
    </row>
    <row r="1703" spans="3:67" s="1" customFormat="1" hidden="1">
      <c r="C1703" s="14"/>
      <c r="F1703" s="17"/>
      <c r="G1703" s="18"/>
      <c r="T1703" s="9"/>
      <c r="U1703" s="9"/>
      <c r="V1703" s="9"/>
      <c r="AO1703"/>
      <c r="AP1703"/>
      <c r="AQ1703"/>
      <c r="AR1703"/>
      <c r="AS1703"/>
      <c r="AT1703"/>
      <c r="AU1703"/>
      <c r="AV1703"/>
      <c r="AW1703"/>
      <c r="AX1703"/>
      <c r="AY1703"/>
      <c r="AZ1703"/>
      <c r="BA1703"/>
      <c r="BB1703"/>
      <c r="BC1703"/>
      <c r="BD1703"/>
      <c r="BE1703"/>
      <c r="BF1703"/>
      <c r="BG1703"/>
      <c r="BH1703"/>
      <c r="BI1703"/>
      <c r="BJ1703"/>
      <c r="BK1703"/>
      <c r="BL1703"/>
      <c r="BM1703"/>
      <c r="BN1703"/>
      <c r="BO1703"/>
    </row>
    <row r="1704" spans="3:67" s="1" customFormat="1" hidden="1">
      <c r="C1704" s="14"/>
      <c r="F1704" s="17"/>
      <c r="G1704" s="18"/>
      <c r="T1704" s="9"/>
      <c r="U1704" s="9"/>
      <c r="V1704" s="9"/>
      <c r="AO1704"/>
      <c r="AP1704"/>
      <c r="AQ1704"/>
      <c r="AR1704"/>
      <c r="AS1704"/>
      <c r="AT1704"/>
      <c r="AU1704"/>
      <c r="AV1704"/>
      <c r="AW1704"/>
      <c r="AX1704"/>
      <c r="AY1704"/>
      <c r="AZ1704"/>
      <c r="BA1704"/>
      <c r="BB1704"/>
      <c r="BC1704"/>
      <c r="BD1704"/>
      <c r="BE1704"/>
      <c r="BF1704"/>
      <c r="BG1704"/>
      <c r="BH1704"/>
      <c r="BI1704"/>
      <c r="BJ1704"/>
      <c r="BK1704"/>
      <c r="BL1704"/>
      <c r="BM1704"/>
      <c r="BN1704"/>
      <c r="BO1704"/>
    </row>
    <row r="1705" spans="3:67" s="1" customFormat="1" hidden="1">
      <c r="C1705" s="14"/>
      <c r="F1705" s="17"/>
      <c r="G1705" s="18"/>
      <c r="T1705" s="9"/>
      <c r="U1705" s="9"/>
      <c r="V1705" s="9"/>
      <c r="AO1705"/>
      <c r="AP1705"/>
      <c r="AQ1705"/>
      <c r="AR1705"/>
      <c r="AS1705"/>
      <c r="AT1705"/>
      <c r="AU1705"/>
      <c r="AV1705"/>
      <c r="AW1705"/>
      <c r="AX1705"/>
      <c r="AY1705"/>
      <c r="AZ1705"/>
      <c r="BA1705"/>
      <c r="BB1705"/>
      <c r="BC1705"/>
      <c r="BD1705"/>
      <c r="BE1705"/>
      <c r="BF1705"/>
      <c r="BG1705"/>
      <c r="BH1705"/>
      <c r="BI1705"/>
      <c r="BJ1705"/>
      <c r="BK1705"/>
      <c r="BL1705"/>
      <c r="BM1705"/>
      <c r="BN1705"/>
      <c r="BO1705"/>
    </row>
    <row r="1706" spans="3:67" s="1" customFormat="1" hidden="1">
      <c r="C1706" s="14"/>
      <c r="F1706" s="17"/>
      <c r="G1706" s="18"/>
      <c r="T1706" s="9"/>
      <c r="U1706" s="9"/>
      <c r="V1706" s="9"/>
      <c r="AO1706"/>
      <c r="AP1706"/>
      <c r="AQ1706"/>
      <c r="AR1706"/>
      <c r="AS1706"/>
      <c r="AT1706"/>
      <c r="AU1706"/>
      <c r="AV1706"/>
      <c r="AW1706"/>
      <c r="AX1706"/>
      <c r="AY1706"/>
      <c r="AZ1706"/>
      <c r="BA1706"/>
      <c r="BB1706"/>
      <c r="BC1706"/>
      <c r="BD1706"/>
      <c r="BE1706"/>
      <c r="BF1706"/>
      <c r="BG1706"/>
      <c r="BH1706"/>
      <c r="BI1706"/>
      <c r="BJ1706"/>
      <c r="BK1706"/>
      <c r="BL1706"/>
      <c r="BM1706"/>
      <c r="BN1706"/>
      <c r="BO1706"/>
    </row>
    <row r="1707" spans="3:67" s="1" customFormat="1" hidden="1">
      <c r="C1707" s="14"/>
      <c r="F1707" s="17"/>
      <c r="G1707" s="18"/>
      <c r="T1707" s="9"/>
      <c r="U1707" s="9"/>
      <c r="V1707" s="9"/>
      <c r="AO1707"/>
      <c r="AP1707"/>
      <c r="AQ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/>
      <c r="BN1707"/>
      <c r="BO1707"/>
    </row>
    <row r="1708" spans="3:67" s="1" customFormat="1" hidden="1">
      <c r="C1708" s="14"/>
      <c r="F1708" s="17"/>
      <c r="G1708" s="18"/>
      <c r="T1708" s="9"/>
      <c r="U1708" s="9"/>
      <c r="V1708" s="9"/>
      <c r="AO1708"/>
      <c r="AP1708"/>
      <c r="AQ1708"/>
      <c r="AR1708"/>
      <c r="AS1708"/>
      <c r="AT1708"/>
      <c r="AU1708"/>
      <c r="AV1708"/>
      <c r="AW1708"/>
      <c r="AX1708"/>
      <c r="AY1708"/>
      <c r="AZ1708"/>
      <c r="BA1708"/>
      <c r="BB1708"/>
      <c r="BC1708"/>
      <c r="BD1708"/>
      <c r="BE1708"/>
      <c r="BF1708"/>
      <c r="BG1708"/>
      <c r="BH1708"/>
      <c r="BI1708"/>
      <c r="BJ1708"/>
      <c r="BK1708"/>
      <c r="BL1708"/>
      <c r="BM1708"/>
      <c r="BN1708"/>
      <c r="BO1708"/>
    </row>
    <row r="1709" spans="3:67" s="1" customFormat="1" hidden="1">
      <c r="C1709" s="14"/>
      <c r="F1709" s="17"/>
      <c r="G1709" s="18"/>
      <c r="T1709" s="9"/>
      <c r="U1709" s="9"/>
      <c r="V1709" s="9"/>
      <c r="AO1709"/>
      <c r="AP1709"/>
      <c r="AQ1709"/>
      <c r="AR1709"/>
      <c r="AS1709"/>
      <c r="AT1709"/>
      <c r="AU1709"/>
      <c r="AV1709"/>
      <c r="AW1709"/>
      <c r="AX1709"/>
      <c r="AY1709"/>
      <c r="AZ1709"/>
      <c r="BA1709"/>
      <c r="BB1709"/>
      <c r="BC1709"/>
      <c r="BD1709"/>
      <c r="BE1709"/>
      <c r="BF1709"/>
      <c r="BG1709"/>
      <c r="BH1709"/>
      <c r="BI1709"/>
      <c r="BJ1709"/>
      <c r="BK1709"/>
      <c r="BL1709"/>
      <c r="BM1709"/>
      <c r="BN1709"/>
      <c r="BO1709"/>
    </row>
    <row r="1710" spans="3:67" s="1" customFormat="1" hidden="1">
      <c r="C1710" s="14"/>
      <c r="F1710" s="17"/>
      <c r="G1710" s="18"/>
      <c r="T1710" s="9"/>
      <c r="U1710" s="9"/>
      <c r="V1710" s="9"/>
      <c r="AO1710"/>
      <c r="AP1710"/>
      <c r="AQ1710"/>
      <c r="AR1710"/>
      <c r="AS1710"/>
      <c r="AT1710"/>
      <c r="AU1710"/>
      <c r="AV1710"/>
      <c r="AW1710"/>
      <c r="AX1710"/>
      <c r="AY1710"/>
      <c r="AZ1710"/>
      <c r="BA1710"/>
      <c r="BB1710"/>
      <c r="BC1710"/>
      <c r="BD1710"/>
      <c r="BE1710"/>
      <c r="BF1710"/>
      <c r="BG1710"/>
      <c r="BH1710"/>
      <c r="BI1710"/>
      <c r="BJ1710"/>
      <c r="BK1710"/>
      <c r="BL1710"/>
      <c r="BM1710"/>
      <c r="BN1710"/>
      <c r="BO1710"/>
    </row>
    <row r="1711" spans="3:67" s="1" customFormat="1" hidden="1">
      <c r="C1711" s="14"/>
      <c r="F1711" s="17"/>
      <c r="G1711" s="18"/>
      <c r="T1711" s="9"/>
      <c r="U1711" s="9"/>
      <c r="V1711" s="9"/>
      <c r="AO1711"/>
      <c r="AP1711"/>
      <c r="AQ1711"/>
      <c r="AR1711"/>
      <c r="AS1711"/>
      <c r="AT1711"/>
      <c r="AU1711"/>
      <c r="AV1711"/>
      <c r="AW1711"/>
      <c r="AX1711"/>
      <c r="AY1711"/>
      <c r="AZ1711"/>
      <c r="BA1711"/>
      <c r="BB1711"/>
      <c r="BC1711"/>
      <c r="BD1711"/>
      <c r="BE1711"/>
      <c r="BF1711"/>
      <c r="BG1711"/>
      <c r="BH1711"/>
      <c r="BI1711"/>
      <c r="BJ1711"/>
      <c r="BK1711"/>
      <c r="BL1711"/>
      <c r="BM1711"/>
      <c r="BN1711"/>
      <c r="BO1711"/>
    </row>
    <row r="1712" spans="3:67" s="1" customFormat="1" hidden="1">
      <c r="C1712" s="14"/>
      <c r="F1712" s="17"/>
      <c r="G1712" s="18"/>
      <c r="T1712" s="9"/>
      <c r="U1712" s="9"/>
      <c r="V1712" s="9"/>
      <c r="AO1712"/>
      <c r="AP1712"/>
      <c r="AQ1712"/>
      <c r="AR1712"/>
      <c r="AS1712"/>
      <c r="AT1712"/>
      <c r="AU1712"/>
      <c r="AV1712"/>
      <c r="AW1712"/>
      <c r="AX1712"/>
      <c r="AY1712"/>
      <c r="AZ1712"/>
      <c r="BA1712"/>
      <c r="BB1712"/>
      <c r="BC1712"/>
      <c r="BD1712"/>
      <c r="BE1712"/>
      <c r="BF1712"/>
      <c r="BG1712"/>
      <c r="BH1712"/>
      <c r="BI1712"/>
      <c r="BJ1712"/>
      <c r="BK1712"/>
      <c r="BL1712"/>
      <c r="BM1712"/>
      <c r="BN1712"/>
      <c r="BO1712"/>
    </row>
    <row r="1713" spans="3:67" s="1" customFormat="1" hidden="1">
      <c r="C1713" s="14"/>
      <c r="F1713" s="17"/>
      <c r="G1713" s="18"/>
      <c r="T1713" s="9"/>
      <c r="U1713" s="9"/>
      <c r="V1713" s="9"/>
      <c r="AO1713"/>
      <c r="AP1713"/>
      <c r="AQ1713"/>
      <c r="AR1713"/>
      <c r="AS1713"/>
      <c r="AT1713"/>
      <c r="AU1713"/>
      <c r="AV1713"/>
      <c r="AW1713"/>
      <c r="AX1713"/>
      <c r="AY1713"/>
      <c r="AZ1713"/>
      <c r="BA1713"/>
      <c r="BB1713"/>
      <c r="BC1713"/>
      <c r="BD1713"/>
      <c r="BE1713"/>
      <c r="BF1713"/>
      <c r="BG1713"/>
      <c r="BH1713"/>
      <c r="BI1713"/>
      <c r="BJ1713"/>
      <c r="BK1713"/>
      <c r="BL1713"/>
      <c r="BM1713"/>
      <c r="BN1713"/>
      <c r="BO1713"/>
    </row>
    <row r="1714" spans="3:67" s="1" customFormat="1" hidden="1">
      <c r="C1714" s="14"/>
      <c r="F1714" s="17"/>
      <c r="G1714" s="18"/>
      <c r="T1714" s="9"/>
      <c r="U1714" s="9"/>
      <c r="V1714" s="9"/>
      <c r="AO1714"/>
      <c r="AP1714"/>
      <c r="AQ1714"/>
      <c r="AR1714"/>
      <c r="AS1714"/>
      <c r="AT1714"/>
      <c r="AU1714"/>
      <c r="AV1714"/>
      <c r="AW1714"/>
      <c r="AX1714"/>
      <c r="AY1714"/>
      <c r="AZ1714"/>
      <c r="BA1714"/>
      <c r="BB1714"/>
      <c r="BC1714"/>
      <c r="BD1714"/>
      <c r="BE1714"/>
      <c r="BF1714"/>
      <c r="BG1714"/>
      <c r="BH1714"/>
      <c r="BI1714"/>
      <c r="BJ1714"/>
      <c r="BK1714"/>
      <c r="BL1714"/>
      <c r="BM1714"/>
      <c r="BN1714"/>
      <c r="BO1714"/>
    </row>
    <row r="1715" spans="3:67" s="1" customFormat="1" hidden="1">
      <c r="C1715" s="14"/>
      <c r="F1715" s="17"/>
      <c r="G1715" s="18"/>
      <c r="T1715" s="9"/>
      <c r="U1715" s="9"/>
      <c r="V1715" s="9"/>
      <c r="AO1715"/>
      <c r="AP1715"/>
      <c r="AQ1715"/>
      <c r="AR1715"/>
      <c r="AS1715"/>
      <c r="AT1715"/>
      <c r="AU1715"/>
      <c r="AV1715"/>
      <c r="AW1715"/>
      <c r="AX1715"/>
      <c r="AY1715"/>
      <c r="AZ1715"/>
      <c r="BA1715"/>
      <c r="BB1715"/>
      <c r="BC1715"/>
      <c r="BD1715"/>
      <c r="BE1715"/>
      <c r="BF1715"/>
      <c r="BG1715"/>
      <c r="BH1715"/>
      <c r="BI1715"/>
      <c r="BJ1715"/>
      <c r="BK1715"/>
      <c r="BL1715"/>
      <c r="BM1715"/>
      <c r="BN1715"/>
      <c r="BO1715"/>
    </row>
    <row r="1716" spans="3:67" s="1" customFormat="1" hidden="1">
      <c r="C1716" s="14"/>
      <c r="F1716" s="17"/>
      <c r="G1716" s="18"/>
      <c r="T1716" s="9"/>
      <c r="U1716" s="9"/>
      <c r="V1716" s="9"/>
      <c r="AO1716"/>
      <c r="AP1716"/>
      <c r="AQ1716"/>
      <c r="AR1716"/>
      <c r="AS1716"/>
      <c r="AT1716"/>
      <c r="AU1716"/>
      <c r="AV1716"/>
      <c r="AW1716"/>
      <c r="AX1716"/>
      <c r="AY1716"/>
      <c r="AZ1716"/>
      <c r="BA1716"/>
      <c r="BB1716"/>
      <c r="BC1716"/>
      <c r="BD1716"/>
      <c r="BE1716"/>
      <c r="BF1716"/>
      <c r="BG1716"/>
      <c r="BH1716"/>
      <c r="BI1716"/>
      <c r="BJ1716"/>
      <c r="BK1716"/>
      <c r="BL1716"/>
      <c r="BM1716"/>
      <c r="BN1716"/>
      <c r="BO1716"/>
    </row>
    <row r="1717" spans="3:67" s="1" customFormat="1" hidden="1">
      <c r="C1717" s="14"/>
      <c r="F1717" s="17"/>
      <c r="G1717" s="18"/>
      <c r="T1717" s="9"/>
      <c r="U1717" s="9"/>
      <c r="V1717" s="9"/>
      <c r="AO1717"/>
      <c r="AP1717"/>
      <c r="AQ1717"/>
      <c r="AR1717"/>
      <c r="AS1717"/>
      <c r="AT1717"/>
      <c r="AU1717"/>
      <c r="AV1717"/>
      <c r="AW1717"/>
      <c r="AX1717"/>
      <c r="AY1717"/>
      <c r="AZ1717"/>
      <c r="BA1717"/>
      <c r="BB1717"/>
      <c r="BC1717"/>
      <c r="BD1717"/>
      <c r="BE1717"/>
      <c r="BF1717"/>
      <c r="BG1717"/>
      <c r="BH1717"/>
      <c r="BI1717"/>
      <c r="BJ1717"/>
      <c r="BK1717"/>
      <c r="BL1717"/>
      <c r="BM1717"/>
      <c r="BN1717"/>
      <c r="BO1717"/>
    </row>
    <row r="1718" spans="3:67" s="1" customFormat="1" hidden="1">
      <c r="C1718" s="14"/>
      <c r="F1718" s="17"/>
      <c r="G1718" s="18"/>
      <c r="T1718" s="9"/>
      <c r="U1718" s="9"/>
      <c r="V1718" s="9"/>
      <c r="AO1718"/>
      <c r="AP1718"/>
      <c r="AQ1718"/>
      <c r="AR1718"/>
      <c r="AS1718"/>
      <c r="AT1718"/>
      <c r="AU1718"/>
      <c r="AV1718"/>
      <c r="AW1718"/>
      <c r="AX1718"/>
      <c r="AY1718"/>
      <c r="AZ1718"/>
      <c r="BA1718"/>
      <c r="BB1718"/>
      <c r="BC1718"/>
      <c r="BD1718"/>
      <c r="BE1718"/>
      <c r="BF1718"/>
      <c r="BG1718"/>
      <c r="BH1718"/>
      <c r="BI1718"/>
      <c r="BJ1718"/>
      <c r="BK1718"/>
      <c r="BL1718"/>
      <c r="BM1718"/>
      <c r="BN1718"/>
      <c r="BO1718"/>
    </row>
    <row r="1719" spans="3:67" s="1" customFormat="1" hidden="1">
      <c r="C1719" s="14"/>
      <c r="F1719" s="17"/>
      <c r="G1719" s="18"/>
      <c r="T1719" s="9"/>
      <c r="U1719" s="9"/>
      <c r="V1719" s="9"/>
      <c r="AO1719"/>
      <c r="AP1719"/>
      <c r="AQ1719"/>
      <c r="AR1719"/>
      <c r="AS1719"/>
      <c r="AT1719"/>
      <c r="AU1719"/>
      <c r="AV1719"/>
      <c r="AW1719"/>
      <c r="AX1719"/>
      <c r="AY1719"/>
      <c r="AZ1719"/>
      <c r="BA1719"/>
      <c r="BB1719"/>
      <c r="BC1719"/>
      <c r="BD1719"/>
      <c r="BE1719"/>
      <c r="BF1719"/>
      <c r="BG1719"/>
      <c r="BH1719"/>
      <c r="BI1719"/>
      <c r="BJ1719"/>
      <c r="BK1719"/>
      <c r="BL1719"/>
      <c r="BM1719"/>
      <c r="BN1719"/>
      <c r="BO1719"/>
    </row>
    <row r="1720" spans="3:67" s="1" customFormat="1" hidden="1">
      <c r="C1720" s="14"/>
      <c r="F1720" s="17"/>
      <c r="G1720" s="18"/>
      <c r="T1720" s="9"/>
      <c r="U1720" s="9"/>
      <c r="V1720" s="9"/>
      <c r="AO1720"/>
      <c r="AP1720"/>
      <c r="AQ1720"/>
      <c r="AR1720"/>
      <c r="AS1720"/>
      <c r="AT1720"/>
      <c r="AU1720"/>
      <c r="AV1720"/>
      <c r="AW1720"/>
      <c r="AX1720"/>
      <c r="AY1720"/>
      <c r="AZ1720"/>
      <c r="BA1720"/>
      <c r="BB1720"/>
      <c r="BC1720"/>
      <c r="BD1720"/>
      <c r="BE1720"/>
      <c r="BF1720"/>
      <c r="BG1720"/>
      <c r="BH1720"/>
      <c r="BI1720"/>
      <c r="BJ1720"/>
      <c r="BK1720"/>
      <c r="BL1720"/>
      <c r="BM1720"/>
      <c r="BN1720"/>
      <c r="BO1720"/>
    </row>
    <row r="1721" spans="3:67" s="1" customFormat="1" hidden="1">
      <c r="C1721" s="14"/>
      <c r="F1721" s="17"/>
      <c r="G1721" s="18"/>
      <c r="T1721" s="9"/>
      <c r="U1721" s="9"/>
      <c r="V1721" s="9"/>
      <c r="AO1721"/>
      <c r="AP1721"/>
      <c r="AQ1721"/>
      <c r="AR1721"/>
      <c r="AS1721"/>
      <c r="AT1721"/>
      <c r="AU1721"/>
      <c r="AV1721"/>
      <c r="AW1721"/>
      <c r="AX1721"/>
      <c r="AY1721"/>
      <c r="AZ1721"/>
      <c r="BA1721"/>
      <c r="BB1721"/>
      <c r="BC1721"/>
      <c r="BD1721"/>
      <c r="BE1721"/>
      <c r="BF1721"/>
      <c r="BG1721"/>
      <c r="BH1721"/>
      <c r="BI1721"/>
      <c r="BJ1721"/>
      <c r="BK1721"/>
      <c r="BL1721"/>
      <c r="BM1721"/>
      <c r="BN1721"/>
      <c r="BO1721"/>
    </row>
    <row r="1722" spans="3:67" s="1" customFormat="1" hidden="1">
      <c r="C1722" s="14"/>
      <c r="F1722" s="17"/>
      <c r="G1722" s="18"/>
      <c r="T1722" s="9"/>
      <c r="U1722" s="9"/>
      <c r="V1722" s="9"/>
      <c r="AO1722"/>
      <c r="AP1722"/>
      <c r="AQ1722"/>
      <c r="AR1722"/>
      <c r="AS1722"/>
      <c r="AT1722"/>
      <c r="AU1722"/>
      <c r="AV1722"/>
      <c r="AW1722"/>
      <c r="AX1722"/>
      <c r="AY1722"/>
      <c r="AZ1722"/>
      <c r="BA1722"/>
      <c r="BB1722"/>
      <c r="BC1722"/>
      <c r="BD1722"/>
      <c r="BE1722"/>
      <c r="BF1722"/>
      <c r="BG1722"/>
      <c r="BH1722"/>
      <c r="BI1722"/>
      <c r="BJ1722"/>
      <c r="BK1722"/>
      <c r="BL1722"/>
      <c r="BM1722"/>
      <c r="BN1722"/>
      <c r="BO1722"/>
    </row>
    <row r="1723" spans="3:67" s="1" customFormat="1" hidden="1">
      <c r="C1723" s="14"/>
      <c r="F1723" s="17"/>
      <c r="G1723" s="18"/>
      <c r="T1723" s="9"/>
      <c r="U1723" s="9"/>
      <c r="V1723" s="9"/>
      <c r="AO1723"/>
      <c r="AP1723"/>
      <c r="AQ1723"/>
      <c r="AR1723"/>
      <c r="AS1723"/>
      <c r="AT1723"/>
      <c r="AU1723"/>
      <c r="AV1723"/>
      <c r="AW1723"/>
      <c r="AX1723"/>
      <c r="AY1723"/>
      <c r="AZ1723"/>
      <c r="BA1723"/>
      <c r="BB1723"/>
      <c r="BC1723"/>
      <c r="BD1723"/>
      <c r="BE1723"/>
      <c r="BF1723"/>
      <c r="BG1723"/>
      <c r="BH1723"/>
      <c r="BI1723"/>
      <c r="BJ1723"/>
      <c r="BK1723"/>
      <c r="BL1723"/>
      <c r="BM1723"/>
      <c r="BN1723"/>
      <c r="BO1723"/>
    </row>
    <row r="1724" spans="3:67" s="1" customFormat="1" hidden="1">
      <c r="C1724" s="14"/>
      <c r="F1724" s="17"/>
      <c r="G1724" s="18"/>
      <c r="T1724" s="9"/>
      <c r="U1724" s="9"/>
      <c r="V1724" s="9"/>
      <c r="AO1724"/>
      <c r="AP1724"/>
      <c r="AQ1724"/>
      <c r="AR1724"/>
      <c r="AS1724"/>
      <c r="AT1724"/>
      <c r="AU1724"/>
      <c r="AV1724"/>
      <c r="AW1724"/>
      <c r="AX1724"/>
      <c r="AY1724"/>
      <c r="AZ1724"/>
      <c r="BA1724"/>
      <c r="BB1724"/>
      <c r="BC1724"/>
      <c r="BD1724"/>
      <c r="BE1724"/>
      <c r="BF1724"/>
      <c r="BG1724"/>
      <c r="BH1724"/>
      <c r="BI1724"/>
      <c r="BJ1724"/>
      <c r="BK1724"/>
      <c r="BL1724"/>
      <c r="BM1724"/>
      <c r="BN1724"/>
      <c r="BO1724"/>
    </row>
    <row r="1725" spans="3:67" s="1" customFormat="1" hidden="1">
      <c r="C1725" s="14"/>
      <c r="F1725" s="17"/>
      <c r="G1725" s="18"/>
      <c r="T1725" s="9"/>
      <c r="U1725" s="9"/>
      <c r="V1725" s="9"/>
      <c r="AO1725"/>
      <c r="AP1725"/>
      <c r="AQ1725"/>
      <c r="AR1725"/>
      <c r="AS1725"/>
      <c r="AT1725"/>
      <c r="AU1725"/>
      <c r="AV1725"/>
      <c r="AW1725"/>
      <c r="AX1725"/>
      <c r="AY1725"/>
      <c r="AZ1725"/>
      <c r="BA1725"/>
      <c r="BB1725"/>
      <c r="BC1725"/>
      <c r="BD1725"/>
      <c r="BE1725"/>
      <c r="BF1725"/>
      <c r="BG1725"/>
      <c r="BH1725"/>
      <c r="BI1725"/>
      <c r="BJ1725"/>
      <c r="BK1725"/>
      <c r="BL1725"/>
      <c r="BM1725"/>
      <c r="BN1725"/>
      <c r="BO1725"/>
    </row>
    <row r="1726" spans="3:67" s="1" customFormat="1" hidden="1">
      <c r="C1726" s="14"/>
      <c r="F1726" s="17"/>
      <c r="G1726" s="18"/>
      <c r="T1726" s="9"/>
      <c r="U1726" s="9"/>
      <c r="V1726" s="9"/>
      <c r="AO1726"/>
      <c r="AP1726"/>
      <c r="AQ1726"/>
      <c r="AR1726"/>
      <c r="AS1726"/>
      <c r="AT1726"/>
      <c r="AU1726"/>
      <c r="AV1726"/>
      <c r="AW1726"/>
      <c r="AX1726"/>
      <c r="AY1726"/>
      <c r="AZ1726"/>
      <c r="BA1726"/>
      <c r="BB1726"/>
      <c r="BC1726"/>
      <c r="BD1726"/>
      <c r="BE1726"/>
      <c r="BF1726"/>
      <c r="BG1726"/>
      <c r="BH1726"/>
      <c r="BI1726"/>
      <c r="BJ1726"/>
      <c r="BK1726"/>
      <c r="BL1726"/>
      <c r="BM1726"/>
      <c r="BN1726"/>
      <c r="BO1726"/>
    </row>
    <row r="1727" spans="3:67" s="1" customFormat="1" hidden="1">
      <c r="C1727" s="14"/>
      <c r="F1727" s="17"/>
      <c r="G1727" s="18"/>
      <c r="T1727" s="9"/>
      <c r="U1727" s="9"/>
      <c r="V1727" s="9"/>
      <c r="AO1727"/>
      <c r="AP1727"/>
      <c r="AQ1727"/>
      <c r="AR1727"/>
      <c r="AS1727"/>
      <c r="AT1727"/>
      <c r="AU1727"/>
      <c r="AV1727"/>
      <c r="AW1727"/>
      <c r="AX1727"/>
      <c r="AY1727"/>
      <c r="AZ1727"/>
      <c r="BA1727"/>
      <c r="BB1727"/>
      <c r="BC1727"/>
      <c r="BD1727"/>
      <c r="BE1727"/>
      <c r="BF1727"/>
      <c r="BG1727"/>
      <c r="BH1727"/>
      <c r="BI1727"/>
      <c r="BJ1727"/>
      <c r="BK1727"/>
      <c r="BL1727"/>
      <c r="BM1727"/>
      <c r="BN1727"/>
      <c r="BO1727"/>
    </row>
    <row r="1728" spans="3:67" s="1" customFormat="1" hidden="1">
      <c r="C1728" s="14"/>
      <c r="F1728" s="17"/>
      <c r="G1728" s="18"/>
      <c r="T1728" s="9"/>
      <c r="U1728" s="9"/>
      <c r="V1728" s="9"/>
      <c r="AO1728"/>
      <c r="AP1728"/>
      <c r="AQ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/>
      <c r="BN1728"/>
      <c r="BO1728"/>
    </row>
    <row r="1729" spans="3:67" s="1" customFormat="1" hidden="1">
      <c r="C1729" s="14"/>
      <c r="F1729" s="17"/>
      <c r="G1729" s="18"/>
      <c r="T1729" s="9"/>
      <c r="U1729" s="9"/>
      <c r="V1729" s="9"/>
      <c r="AO1729"/>
      <c r="AP1729"/>
      <c r="AQ1729"/>
      <c r="AR1729"/>
      <c r="AS1729"/>
      <c r="AT1729"/>
      <c r="AU1729"/>
      <c r="AV1729"/>
      <c r="AW1729"/>
      <c r="AX1729"/>
      <c r="AY1729"/>
      <c r="AZ1729"/>
      <c r="BA1729"/>
      <c r="BB1729"/>
      <c r="BC1729"/>
      <c r="BD1729"/>
      <c r="BE1729"/>
      <c r="BF1729"/>
      <c r="BG1729"/>
      <c r="BH1729"/>
      <c r="BI1729"/>
      <c r="BJ1729"/>
      <c r="BK1729"/>
      <c r="BL1729"/>
      <c r="BM1729"/>
      <c r="BN1729"/>
      <c r="BO1729"/>
    </row>
    <row r="1730" spans="3:67" s="1" customFormat="1" hidden="1">
      <c r="C1730" s="14"/>
      <c r="F1730" s="17"/>
      <c r="G1730" s="18"/>
      <c r="T1730" s="9"/>
      <c r="U1730" s="9"/>
      <c r="V1730" s="9"/>
      <c r="AO1730"/>
      <c r="AP1730"/>
      <c r="AQ1730"/>
      <c r="AR1730"/>
      <c r="AS1730"/>
      <c r="AT1730"/>
      <c r="AU1730"/>
      <c r="AV1730"/>
      <c r="AW1730"/>
      <c r="AX1730"/>
      <c r="AY1730"/>
      <c r="AZ1730"/>
      <c r="BA1730"/>
      <c r="BB1730"/>
      <c r="BC1730"/>
      <c r="BD1730"/>
      <c r="BE1730"/>
      <c r="BF1730"/>
      <c r="BG1730"/>
      <c r="BH1730"/>
      <c r="BI1730"/>
      <c r="BJ1730"/>
      <c r="BK1730"/>
      <c r="BL1730"/>
      <c r="BM1730"/>
      <c r="BN1730"/>
      <c r="BO1730"/>
    </row>
    <row r="1731" spans="3:67" s="1" customFormat="1" hidden="1">
      <c r="C1731" s="14"/>
      <c r="F1731" s="17"/>
      <c r="G1731" s="18"/>
      <c r="T1731" s="9"/>
      <c r="U1731" s="9"/>
      <c r="V1731" s="9"/>
      <c r="AO1731"/>
      <c r="AP1731"/>
      <c r="AQ1731"/>
      <c r="AR1731"/>
      <c r="AS1731"/>
      <c r="AT1731"/>
      <c r="AU1731"/>
      <c r="AV1731"/>
      <c r="AW1731"/>
      <c r="AX1731"/>
      <c r="AY1731"/>
      <c r="AZ1731"/>
      <c r="BA1731"/>
      <c r="BB1731"/>
      <c r="BC1731"/>
      <c r="BD1731"/>
      <c r="BE1731"/>
      <c r="BF1731"/>
      <c r="BG1731"/>
      <c r="BH1731"/>
      <c r="BI1731"/>
      <c r="BJ1731"/>
      <c r="BK1731"/>
      <c r="BL1731"/>
      <c r="BM1731"/>
      <c r="BN1731"/>
      <c r="BO1731"/>
    </row>
    <row r="1732" spans="3:67" s="1" customFormat="1" hidden="1">
      <c r="C1732" s="14"/>
      <c r="F1732" s="17"/>
      <c r="G1732" s="18"/>
      <c r="T1732" s="9"/>
      <c r="U1732" s="9"/>
      <c r="V1732" s="9"/>
      <c r="AO1732"/>
      <c r="AP1732"/>
      <c r="AQ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/>
      <c r="BN1732"/>
      <c r="BO1732"/>
    </row>
    <row r="1733" spans="3:67" s="1" customFormat="1" hidden="1">
      <c r="C1733" s="14"/>
      <c r="F1733" s="17"/>
      <c r="G1733" s="18"/>
      <c r="T1733" s="9"/>
      <c r="U1733" s="9"/>
      <c r="V1733" s="9"/>
      <c r="AO1733"/>
      <c r="AP1733"/>
      <c r="AQ1733"/>
      <c r="AR1733"/>
      <c r="AS1733"/>
      <c r="AT1733"/>
      <c r="AU1733"/>
      <c r="AV1733"/>
      <c r="AW1733"/>
      <c r="AX1733"/>
      <c r="AY1733"/>
      <c r="AZ1733"/>
      <c r="BA1733"/>
      <c r="BB1733"/>
      <c r="BC1733"/>
      <c r="BD1733"/>
      <c r="BE1733"/>
      <c r="BF1733"/>
      <c r="BG1733"/>
      <c r="BH1733"/>
      <c r="BI1733"/>
      <c r="BJ1733"/>
      <c r="BK1733"/>
      <c r="BL1733"/>
      <c r="BM1733"/>
      <c r="BN1733"/>
      <c r="BO1733"/>
    </row>
    <row r="1734" spans="3:67" s="1" customFormat="1" hidden="1">
      <c r="C1734" s="14"/>
      <c r="F1734" s="17"/>
      <c r="G1734" s="18"/>
      <c r="T1734" s="9"/>
      <c r="U1734" s="9"/>
      <c r="V1734" s="9"/>
      <c r="AO1734"/>
      <c r="AP1734"/>
      <c r="AQ1734"/>
      <c r="AR1734"/>
      <c r="AS1734"/>
      <c r="AT1734"/>
      <c r="AU1734"/>
      <c r="AV1734"/>
      <c r="AW1734"/>
      <c r="AX1734"/>
      <c r="AY1734"/>
      <c r="AZ1734"/>
      <c r="BA1734"/>
      <c r="BB1734"/>
      <c r="BC1734"/>
      <c r="BD1734"/>
      <c r="BE1734"/>
      <c r="BF1734"/>
      <c r="BG1734"/>
      <c r="BH1734"/>
      <c r="BI1734"/>
      <c r="BJ1734"/>
      <c r="BK1734"/>
      <c r="BL1734"/>
      <c r="BM1734"/>
      <c r="BN1734"/>
      <c r="BO1734"/>
    </row>
    <row r="1735" spans="3:67" s="1" customFormat="1" hidden="1">
      <c r="C1735" s="14"/>
      <c r="F1735" s="17"/>
      <c r="G1735" s="18"/>
      <c r="T1735" s="9"/>
      <c r="U1735" s="9"/>
      <c r="V1735" s="9"/>
      <c r="AO1735"/>
      <c r="AP1735"/>
      <c r="AQ1735"/>
      <c r="AR1735"/>
      <c r="AS1735"/>
      <c r="AT1735"/>
      <c r="AU1735"/>
      <c r="AV1735"/>
      <c r="AW1735"/>
      <c r="AX1735"/>
      <c r="AY1735"/>
      <c r="AZ1735"/>
      <c r="BA1735"/>
      <c r="BB1735"/>
      <c r="BC1735"/>
      <c r="BD1735"/>
      <c r="BE1735"/>
      <c r="BF1735"/>
      <c r="BG1735"/>
      <c r="BH1735"/>
      <c r="BI1735"/>
      <c r="BJ1735"/>
      <c r="BK1735"/>
      <c r="BL1735"/>
      <c r="BM1735"/>
      <c r="BN1735"/>
      <c r="BO1735"/>
    </row>
    <row r="1736" spans="3:67" s="1" customFormat="1" hidden="1">
      <c r="C1736" s="14"/>
      <c r="F1736" s="17"/>
      <c r="G1736" s="18"/>
      <c r="T1736" s="9"/>
      <c r="U1736" s="9"/>
      <c r="V1736" s="9"/>
      <c r="AO1736"/>
      <c r="AP1736"/>
      <c r="AQ1736"/>
      <c r="AR1736"/>
      <c r="AS1736"/>
      <c r="AT1736"/>
      <c r="AU1736"/>
      <c r="AV1736"/>
      <c r="AW1736"/>
      <c r="AX1736"/>
      <c r="AY1736"/>
      <c r="AZ1736"/>
      <c r="BA1736"/>
      <c r="BB1736"/>
      <c r="BC1736"/>
      <c r="BD1736"/>
      <c r="BE1736"/>
      <c r="BF1736"/>
      <c r="BG1736"/>
      <c r="BH1736"/>
      <c r="BI1736"/>
      <c r="BJ1736"/>
      <c r="BK1736"/>
      <c r="BL1736"/>
      <c r="BM1736"/>
      <c r="BN1736"/>
      <c r="BO1736"/>
    </row>
    <row r="1737" spans="3:67" s="1" customFormat="1" hidden="1">
      <c r="C1737" s="14"/>
      <c r="F1737" s="17"/>
      <c r="G1737" s="18"/>
      <c r="T1737" s="9"/>
      <c r="U1737" s="9"/>
      <c r="V1737" s="9"/>
      <c r="AO1737"/>
      <c r="AP1737"/>
      <c r="AQ1737"/>
      <c r="AR1737"/>
      <c r="AS1737"/>
      <c r="AT1737"/>
      <c r="AU1737"/>
      <c r="AV1737"/>
      <c r="AW1737"/>
      <c r="AX1737"/>
      <c r="AY1737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/>
      <c r="BN1737"/>
      <c r="BO1737"/>
    </row>
    <row r="1738" spans="3:67" s="1" customFormat="1" hidden="1">
      <c r="C1738" s="14"/>
      <c r="F1738" s="17"/>
      <c r="G1738" s="18"/>
      <c r="T1738" s="9"/>
      <c r="U1738" s="9"/>
      <c r="V1738" s="9"/>
      <c r="AO1738"/>
      <c r="AP1738"/>
      <c r="AQ1738"/>
      <c r="AR1738"/>
      <c r="AS1738"/>
      <c r="AT1738"/>
      <c r="AU1738"/>
      <c r="AV1738"/>
      <c r="AW1738"/>
      <c r="AX1738"/>
      <c r="AY1738"/>
      <c r="AZ1738"/>
      <c r="BA1738"/>
      <c r="BB1738"/>
      <c r="BC1738"/>
      <c r="BD1738"/>
      <c r="BE1738"/>
      <c r="BF1738"/>
      <c r="BG1738"/>
      <c r="BH1738"/>
      <c r="BI1738"/>
      <c r="BJ1738"/>
      <c r="BK1738"/>
      <c r="BL1738"/>
      <c r="BM1738"/>
      <c r="BN1738"/>
      <c r="BO1738"/>
    </row>
    <row r="1739" spans="3:67" s="1" customFormat="1" hidden="1">
      <c r="C1739" s="14"/>
      <c r="F1739" s="17"/>
      <c r="G1739" s="18"/>
      <c r="T1739" s="9"/>
      <c r="U1739" s="9"/>
      <c r="V1739" s="9"/>
      <c r="AO1739"/>
      <c r="AP1739"/>
      <c r="AQ1739"/>
      <c r="AR1739"/>
      <c r="AS1739"/>
      <c r="AT1739"/>
      <c r="AU1739"/>
      <c r="AV1739"/>
      <c r="AW1739"/>
      <c r="AX1739"/>
      <c r="AY1739"/>
      <c r="AZ1739"/>
      <c r="BA1739"/>
      <c r="BB1739"/>
      <c r="BC1739"/>
      <c r="BD1739"/>
      <c r="BE1739"/>
      <c r="BF1739"/>
      <c r="BG1739"/>
      <c r="BH1739"/>
      <c r="BI1739"/>
      <c r="BJ1739"/>
      <c r="BK1739"/>
      <c r="BL1739"/>
      <c r="BM1739"/>
      <c r="BN1739"/>
      <c r="BO1739"/>
    </row>
    <row r="1740" spans="3:67" s="1" customFormat="1" hidden="1">
      <c r="C1740" s="14"/>
      <c r="F1740" s="17"/>
      <c r="G1740" s="18"/>
      <c r="T1740" s="9"/>
      <c r="U1740" s="9"/>
      <c r="V1740" s="9"/>
      <c r="AO1740"/>
      <c r="AP1740"/>
      <c r="AQ1740"/>
      <c r="AR1740"/>
      <c r="AS1740"/>
      <c r="AT1740"/>
      <c r="AU1740"/>
      <c r="AV1740"/>
      <c r="AW1740"/>
      <c r="AX1740"/>
      <c r="AY1740"/>
      <c r="AZ1740"/>
      <c r="BA1740"/>
      <c r="BB1740"/>
      <c r="BC1740"/>
      <c r="BD1740"/>
      <c r="BE1740"/>
      <c r="BF1740"/>
      <c r="BG1740"/>
      <c r="BH1740"/>
      <c r="BI1740"/>
      <c r="BJ1740"/>
      <c r="BK1740"/>
      <c r="BL1740"/>
      <c r="BM1740"/>
      <c r="BN1740"/>
      <c r="BO1740"/>
    </row>
    <row r="1741" spans="3:67" s="1" customFormat="1" hidden="1">
      <c r="C1741" s="14"/>
      <c r="F1741" s="17"/>
      <c r="G1741" s="18"/>
      <c r="T1741" s="9"/>
      <c r="U1741" s="9"/>
      <c r="V1741" s="9"/>
      <c r="AO1741"/>
      <c r="AP1741"/>
      <c r="AQ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/>
      <c r="BN1741"/>
      <c r="BO1741"/>
    </row>
    <row r="1742" spans="3:67" s="1" customFormat="1" hidden="1">
      <c r="C1742" s="14"/>
      <c r="F1742" s="17"/>
      <c r="G1742" s="18"/>
      <c r="T1742" s="9"/>
      <c r="U1742" s="9"/>
      <c r="V1742" s="9"/>
      <c r="AO1742"/>
      <c r="AP1742"/>
      <c r="AQ1742"/>
      <c r="AR1742"/>
      <c r="AS1742"/>
      <c r="AT1742"/>
      <c r="AU1742"/>
      <c r="AV1742"/>
      <c r="AW1742"/>
      <c r="AX1742"/>
      <c r="AY1742"/>
      <c r="AZ1742"/>
      <c r="BA1742"/>
      <c r="BB1742"/>
      <c r="BC1742"/>
      <c r="BD1742"/>
      <c r="BE1742"/>
      <c r="BF1742"/>
      <c r="BG1742"/>
      <c r="BH1742"/>
      <c r="BI1742"/>
      <c r="BJ1742"/>
      <c r="BK1742"/>
      <c r="BL1742"/>
      <c r="BM1742"/>
      <c r="BN1742"/>
      <c r="BO1742"/>
    </row>
    <row r="1743" spans="3:67" s="1" customFormat="1" hidden="1">
      <c r="C1743" s="14"/>
      <c r="F1743" s="17"/>
      <c r="G1743" s="18"/>
      <c r="T1743" s="9"/>
      <c r="U1743" s="9"/>
      <c r="V1743" s="9"/>
      <c r="AO1743"/>
      <c r="AP1743"/>
      <c r="AQ1743"/>
      <c r="AR1743"/>
      <c r="AS1743"/>
      <c r="AT1743"/>
      <c r="AU1743"/>
      <c r="AV1743"/>
      <c r="AW1743"/>
      <c r="AX1743"/>
      <c r="AY1743"/>
      <c r="AZ1743"/>
      <c r="BA1743"/>
      <c r="BB1743"/>
      <c r="BC1743"/>
      <c r="BD1743"/>
      <c r="BE1743"/>
      <c r="BF1743"/>
      <c r="BG1743"/>
      <c r="BH1743"/>
      <c r="BI1743"/>
      <c r="BJ1743"/>
      <c r="BK1743"/>
      <c r="BL1743"/>
      <c r="BM1743"/>
      <c r="BN1743"/>
      <c r="BO1743"/>
    </row>
    <row r="1744" spans="3:67" s="1" customFormat="1" hidden="1">
      <c r="C1744" s="14"/>
      <c r="F1744" s="17"/>
      <c r="G1744" s="18"/>
      <c r="T1744" s="9"/>
      <c r="U1744" s="9"/>
      <c r="V1744" s="9"/>
      <c r="AO1744"/>
      <c r="AP1744"/>
      <c r="AQ1744"/>
      <c r="AR1744"/>
      <c r="AS1744"/>
      <c r="AT1744"/>
      <c r="AU1744"/>
      <c r="AV1744"/>
      <c r="AW1744"/>
      <c r="AX1744"/>
      <c r="AY1744"/>
      <c r="AZ1744"/>
      <c r="BA1744"/>
      <c r="BB1744"/>
      <c r="BC1744"/>
      <c r="BD1744"/>
      <c r="BE1744"/>
      <c r="BF1744"/>
      <c r="BG1744"/>
      <c r="BH1744"/>
      <c r="BI1744"/>
      <c r="BJ1744"/>
      <c r="BK1744"/>
      <c r="BL1744"/>
      <c r="BM1744"/>
      <c r="BN1744"/>
      <c r="BO1744"/>
    </row>
    <row r="1745" spans="1:67" hidden="1">
      <c r="A1745" s="1"/>
      <c r="B1745" s="1"/>
      <c r="C1745" s="14"/>
      <c r="D1745" s="1"/>
      <c r="E1745" s="1"/>
      <c r="F1745" s="17"/>
      <c r="G1745" s="18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9"/>
      <c r="U1745" s="9"/>
      <c r="V1745" s="9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  <c r="AM1745" s="1"/>
      <c r="AN1745" s="1"/>
      <c r="AO1745"/>
      <c r="AP1745"/>
      <c r="AQ1745"/>
      <c r="AR1745"/>
      <c r="AS1745"/>
      <c r="BI1745"/>
      <c r="BJ1745"/>
      <c r="BK1745"/>
      <c r="BL1745"/>
      <c r="BM1745"/>
      <c r="BN1745"/>
      <c r="BO1745"/>
    </row>
    <row r="1746" spans="1:67" hidden="1">
      <c r="A1746" s="1"/>
      <c r="B1746" s="1"/>
      <c r="C1746" s="14"/>
      <c r="D1746" s="1"/>
      <c r="E1746" s="1"/>
      <c r="F1746" s="17"/>
      <c r="G1746" s="18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9"/>
      <c r="U1746" s="9"/>
      <c r="V1746" s="9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M1746" s="1"/>
      <c r="AN1746" s="1"/>
      <c r="AO1746"/>
      <c r="AP1746"/>
      <c r="AQ1746"/>
      <c r="AR1746"/>
      <c r="AS1746"/>
      <c r="BI1746"/>
      <c r="BJ1746"/>
      <c r="BK1746"/>
      <c r="BL1746"/>
      <c r="BM1746"/>
      <c r="BN1746"/>
      <c r="BO1746"/>
    </row>
    <row r="1747" spans="1:67"/>
    <row r="1748" spans="1:67"/>
    <row r="1749" spans="1:67"/>
    <row r="1750" spans="1:67"/>
    <row r="1751" spans="1:67"/>
    <row r="1752" spans="1:67"/>
    <row r="1753" spans="1:67"/>
  </sheetData>
  <autoFilter ref="A1:AK255" xr:uid="{24882D2B-9EFC-4168-890D-DEA0A7D324DD}"/>
  <mergeCells count="41">
    <mergeCell ref="AR5:AR10"/>
    <mergeCell ref="B157:B201"/>
    <mergeCell ref="AM199:AM200"/>
    <mergeCell ref="B203:B218"/>
    <mergeCell ref="B76:B114"/>
    <mergeCell ref="B116:B155"/>
    <mergeCell ref="AM153:AM154"/>
    <mergeCell ref="AM76:AM89"/>
    <mergeCell ref="AM90:AM96"/>
    <mergeCell ref="AM97:AM106"/>
    <mergeCell ref="AM108:AM111"/>
    <mergeCell ref="AM112:AM113"/>
    <mergeCell ref="AN22:AN28"/>
    <mergeCell ref="B38:B59"/>
    <mergeCell ref="B61:B74"/>
    <mergeCell ref="B5:B18"/>
    <mergeCell ref="B20:B36"/>
    <mergeCell ref="B220:B237"/>
    <mergeCell ref="B239:B256"/>
    <mergeCell ref="AU240:AU241"/>
    <mergeCell ref="AM149:AM152"/>
    <mergeCell ref="AU158:AU159"/>
    <mergeCell ref="AM157:AM170"/>
    <mergeCell ref="AM171:AM179"/>
    <mergeCell ref="AM180:AM193"/>
    <mergeCell ref="AT1:AU1"/>
    <mergeCell ref="AX5:AX6"/>
    <mergeCell ref="AM195:AM198"/>
    <mergeCell ref="AU204:AU205"/>
    <mergeCell ref="AU221:AU222"/>
    <mergeCell ref="AU61:AU62"/>
    <mergeCell ref="AU77:AU78"/>
    <mergeCell ref="AU117:AU118"/>
    <mergeCell ref="AM116:AM129"/>
    <mergeCell ref="AM130:AM137"/>
    <mergeCell ref="AM138:AM147"/>
    <mergeCell ref="AT5:AT6"/>
    <mergeCell ref="AU5:AU6"/>
    <mergeCell ref="AN5:AN10"/>
    <mergeCell ref="AN40:AN45"/>
    <mergeCell ref="AN62:AN68"/>
  </mergeCells>
  <pageMargins left="0.7" right="0.7" top="0.75" bottom="0.75" header="0.3" footer="0.3"/>
  <pageSetup paperSize="9" orientation="portrait" r:id="rId1"/>
  <headerFooter>
    <oddFooter>&amp;L_x000D_&amp;1#&amp;"Calibri"&amp;10&amp;K000000 Classification: Internal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803A2-0A88-4F40-8D34-0C257B9AA84B}">
  <sheetPr>
    <tabColor theme="2" tint="-9.9978637043366805E-2"/>
  </sheetPr>
  <dimension ref="C2:AB48"/>
  <sheetViews>
    <sheetView zoomScale="85" zoomScaleNormal="85" workbookViewId="0">
      <selection activeCell="F38" sqref="F38"/>
    </sheetView>
  </sheetViews>
  <sheetFormatPr defaultRowHeight="16.5"/>
  <cols>
    <col min="1" max="1" width="14.625" customWidth="1"/>
    <col min="2" max="2" width="6.25" customWidth="1"/>
    <col min="3" max="3" width="64.75" customWidth="1"/>
    <col min="4" max="4" width="3.375" customWidth="1"/>
    <col min="5" max="5" width="6.375" customWidth="1"/>
    <col min="6" max="6" width="46.875" customWidth="1"/>
    <col min="7" max="7" width="5.375" customWidth="1"/>
    <col min="8" max="8" width="37.5" bestFit="1" customWidth="1"/>
    <col min="9" max="9" width="6.625" customWidth="1"/>
    <col min="10" max="10" width="34.875" customWidth="1"/>
    <col min="11" max="11" width="2.875" customWidth="1"/>
    <col min="12" max="12" width="30.125" customWidth="1"/>
    <col min="14" max="14" width="37.875" customWidth="1"/>
    <col min="16" max="16" width="45.375" customWidth="1"/>
    <col min="17" max="17" width="5.75" customWidth="1"/>
    <col min="18" max="18" width="34.875" customWidth="1"/>
    <col min="20" max="20" width="43.875" customWidth="1"/>
    <col min="22" max="22" width="49.375" bestFit="1" customWidth="1"/>
    <col min="24" max="24" width="66.5" bestFit="1" customWidth="1"/>
    <col min="25" max="25" width="3.5" customWidth="1"/>
    <col min="26" max="26" width="39" customWidth="1"/>
    <col min="27" max="27" width="4.125" customWidth="1"/>
    <col min="28" max="28" width="19.375" customWidth="1"/>
  </cols>
  <sheetData>
    <row r="2" spans="3:28" ht="18.75">
      <c r="C2" s="34" t="s">
        <v>316</v>
      </c>
      <c r="D2" s="34"/>
      <c r="F2" s="34" t="s">
        <v>327</v>
      </c>
      <c r="H2" s="34" t="s">
        <v>328</v>
      </c>
      <c r="J2" s="34" t="s">
        <v>336</v>
      </c>
      <c r="K2" s="34"/>
      <c r="V2" s="34" t="s">
        <v>349</v>
      </c>
    </row>
    <row r="3" spans="3:28" ht="18.75">
      <c r="C3" s="24" t="s">
        <v>308</v>
      </c>
      <c r="D3" s="24"/>
      <c r="F3" s="24" t="s">
        <v>310</v>
      </c>
      <c r="H3" s="24" t="s">
        <v>309</v>
      </c>
      <c r="J3" s="24" t="s">
        <v>338</v>
      </c>
      <c r="K3" s="24"/>
      <c r="V3" s="24" t="s">
        <v>348</v>
      </c>
    </row>
    <row r="4" spans="3:28" ht="18.75">
      <c r="C4" s="24"/>
      <c r="D4" s="24"/>
      <c r="F4" s="24"/>
      <c r="H4" s="24"/>
      <c r="J4" s="24"/>
      <c r="K4" s="24"/>
    </row>
    <row r="5" spans="3:28" ht="18.75">
      <c r="C5" s="30" t="s">
        <v>324</v>
      </c>
      <c r="D5" s="30"/>
      <c r="F5" s="30" t="s">
        <v>326</v>
      </c>
      <c r="H5" s="32" t="s">
        <v>320</v>
      </c>
      <c r="J5" s="30" t="s">
        <v>337</v>
      </c>
      <c r="L5" s="36" t="s">
        <v>311</v>
      </c>
      <c r="N5" s="30" t="s">
        <v>312</v>
      </c>
      <c r="P5" s="30" t="s">
        <v>342</v>
      </c>
      <c r="R5" s="30" t="s">
        <v>325</v>
      </c>
      <c r="T5" s="30" t="s">
        <v>313</v>
      </c>
      <c r="V5" s="30" t="s">
        <v>350</v>
      </c>
      <c r="X5" s="23" t="s">
        <v>347</v>
      </c>
      <c r="Z5" s="30" t="s">
        <v>352</v>
      </c>
      <c r="AB5" t="s">
        <v>353</v>
      </c>
    </row>
    <row r="6" spans="3:28">
      <c r="C6" s="28">
        <v>1</v>
      </c>
      <c r="D6" s="28"/>
      <c r="F6" s="25" t="s">
        <v>321</v>
      </c>
      <c r="H6" s="33">
        <v>0</v>
      </c>
      <c r="J6" s="28">
        <v>0</v>
      </c>
      <c r="K6" s="28"/>
      <c r="L6">
        <v>1</v>
      </c>
      <c r="N6">
        <v>1</v>
      </c>
      <c r="P6">
        <v>1</v>
      </c>
      <c r="R6" t="s">
        <v>17</v>
      </c>
      <c r="T6" t="s">
        <v>345</v>
      </c>
      <c r="V6" t="s">
        <v>345</v>
      </c>
      <c r="X6" t="s">
        <v>333</v>
      </c>
      <c r="Z6" s="28">
        <v>0</v>
      </c>
      <c r="AB6" t="s">
        <v>17</v>
      </c>
    </row>
    <row r="7" spans="3:28">
      <c r="C7" s="28">
        <v>2</v>
      </c>
      <c r="D7" s="28"/>
      <c r="F7" t="s">
        <v>360</v>
      </c>
      <c r="H7" s="28" t="s">
        <v>334</v>
      </c>
      <c r="J7" s="28">
        <v>1</v>
      </c>
      <c r="K7" s="28"/>
      <c r="L7">
        <v>2</v>
      </c>
      <c r="N7">
        <v>2</v>
      </c>
      <c r="P7">
        <v>2</v>
      </c>
      <c r="R7" t="s">
        <v>323</v>
      </c>
      <c r="T7" t="s">
        <v>344</v>
      </c>
      <c r="V7" t="s">
        <v>344</v>
      </c>
      <c r="X7">
        <v>2</v>
      </c>
      <c r="Z7" s="28">
        <v>1</v>
      </c>
      <c r="AB7" t="s">
        <v>18</v>
      </c>
    </row>
    <row r="8" spans="3:28">
      <c r="C8" s="28">
        <v>3</v>
      </c>
      <c r="D8" s="28"/>
      <c r="F8" s="35" t="s">
        <v>35</v>
      </c>
      <c r="H8" s="29">
        <v>2</v>
      </c>
      <c r="J8" s="28">
        <v>2</v>
      </c>
      <c r="K8" s="28"/>
      <c r="L8">
        <v>3</v>
      </c>
      <c r="N8">
        <v>3</v>
      </c>
      <c r="P8">
        <v>3</v>
      </c>
      <c r="R8" t="s">
        <v>35</v>
      </c>
      <c r="T8" t="s">
        <v>346</v>
      </c>
      <c r="V8" t="s">
        <v>346</v>
      </c>
      <c r="X8">
        <v>3</v>
      </c>
      <c r="Z8" s="28">
        <v>2</v>
      </c>
      <c r="AB8" t="s">
        <v>35</v>
      </c>
    </row>
    <row r="9" spans="3:28">
      <c r="C9" s="28">
        <v>4</v>
      </c>
      <c r="D9" s="28"/>
      <c r="H9" s="28" t="s">
        <v>335</v>
      </c>
      <c r="J9" s="28">
        <v>3</v>
      </c>
      <c r="K9" s="28"/>
      <c r="L9">
        <v>4</v>
      </c>
      <c r="N9">
        <v>4</v>
      </c>
      <c r="P9">
        <v>4</v>
      </c>
      <c r="T9" t="s">
        <v>35</v>
      </c>
      <c r="V9" t="s">
        <v>35</v>
      </c>
      <c r="X9">
        <v>4</v>
      </c>
      <c r="Z9" s="28">
        <v>3</v>
      </c>
    </row>
    <row r="10" spans="3:28">
      <c r="C10" s="28">
        <v>5</v>
      </c>
      <c r="D10" s="28"/>
      <c r="F10" s="30" t="s">
        <v>319</v>
      </c>
      <c r="H10" s="29">
        <v>4</v>
      </c>
      <c r="J10" s="28">
        <v>4</v>
      </c>
      <c r="K10" s="28"/>
      <c r="L10">
        <v>5</v>
      </c>
      <c r="N10">
        <v>5</v>
      </c>
      <c r="P10">
        <v>5</v>
      </c>
      <c r="X10">
        <v>5</v>
      </c>
      <c r="Z10" s="28">
        <v>4</v>
      </c>
    </row>
    <row r="11" spans="3:28">
      <c r="C11" s="35">
        <v>0</v>
      </c>
      <c r="D11" s="35"/>
      <c r="F11">
        <v>0</v>
      </c>
      <c r="H11" s="28">
        <v>5</v>
      </c>
      <c r="J11" s="28" t="s">
        <v>339</v>
      </c>
      <c r="K11" s="28"/>
      <c r="L11">
        <v>6</v>
      </c>
      <c r="N11">
        <v>6</v>
      </c>
      <c r="P11">
        <v>6</v>
      </c>
      <c r="X11" t="s">
        <v>351</v>
      </c>
      <c r="Z11" s="28">
        <v>5</v>
      </c>
    </row>
    <row r="12" spans="3:28">
      <c r="C12" s="28" t="s">
        <v>314</v>
      </c>
      <c r="D12" s="28"/>
      <c r="F12">
        <v>1</v>
      </c>
      <c r="H12" s="29">
        <v>6</v>
      </c>
      <c r="J12" s="28" t="s">
        <v>340</v>
      </c>
      <c r="K12" s="28"/>
      <c r="L12">
        <v>7</v>
      </c>
      <c r="N12">
        <v>7</v>
      </c>
      <c r="P12">
        <v>7</v>
      </c>
      <c r="Z12" s="28">
        <v>6</v>
      </c>
    </row>
    <row r="13" spans="3:28">
      <c r="C13" s="28" t="s">
        <v>17</v>
      </c>
      <c r="D13" s="28"/>
      <c r="F13">
        <v>2</v>
      </c>
      <c r="H13" s="28">
        <v>7</v>
      </c>
      <c r="J13" s="28">
        <v>7</v>
      </c>
      <c r="K13" s="28"/>
      <c r="L13">
        <v>8</v>
      </c>
      <c r="N13">
        <v>8</v>
      </c>
      <c r="P13">
        <v>8</v>
      </c>
      <c r="Z13" s="28">
        <v>7</v>
      </c>
    </row>
    <row r="14" spans="3:28">
      <c r="C14" s="28" t="s">
        <v>323</v>
      </c>
      <c r="D14" s="28"/>
      <c r="F14">
        <v>3</v>
      </c>
      <c r="H14" s="29">
        <v>8</v>
      </c>
      <c r="J14" s="28">
        <v>8</v>
      </c>
      <c r="K14" s="28"/>
      <c r="L14">
        <v>9</v>
      </c>
      <c r="N14">
        <v>9</v>
      </c>
      <c r="P14">
        <v>9</v>
      </c>
      <c r="Z14" s="28">
        <v>8</v>
      </c>
    </row>
    <row r="15" spans="3:28" ht="18.75">
      <c r="C15" s="31"/>
      <c r="D15" s="31"/>
      <c r="F15">
        <v>4</v>
      </c>
      <c r="H15" s="35" t="s">
        <v>35</v>
      </c>
      <c r="J15" s="28">
        <v>9</v>
      </c>
      <c r="K15" s="28"/>
      <c r="L15">
        <v>10</v>
      </c>
      <c r="N15">
        <v>10</v>
      </c>
      <c r="P15">
        <v>10</v>
      </c>
      <c r="Z15" s="28">
        <v>9</v>
      </c>
    </row>
    <row r="16" spans="3:28">
      <c r="C16" s="28" t="s">
        <v>315</v>
      </c>
      <c r="D16" s="28"/>
      <c r="F16">
        <v>5</v>
      </c>
      <c r="J16" s="28">
        <v>10</v>
      </c>
      <c r="K16" s="28"/>
      <c r="L16">
        <v>11</v>
      </c>
      <c r="N16">
        <v>11</v>
      </c>
      <c r="P16">
        <v>11</v>
      </c>
      <c r="Z16" s="28">
        <v>10</v>
      </c>
    </row>
    <row r="17" spans="3:26">
      <c r="C17" s="28" t="s">
        <v>17</v>
      </c>
      <c r="D17" s="28"/>
      <c r="F17">
        <v>6</v>
      </c>
      <c r="J17" s="28">
        <v>11</v>
      </c>
      <c r="K17" s="28"/>
      <c r="L17">
        <v>12</v>
      </c>
      <c r="N17">
        <v>12</v>
      </c>
      <c r="P17">
        <v>12</v>
      </c>
      <c r="Z17" s="28">
        <v>11</v>
      </c>
    </row>
    <row r="18" spans="3:26">
      <c r="C18" s="28" t="s">
        <v>323</v>
      </c>
      <c r="D18" s="28"/>
      <c r="F18">
        <v>7</v>
      </c>
      <c r="J18" s="28">
        <v>12</v>
      </c>
      <c r="K18" s="28"/>
      <c r="L18">
        <v>13</v>
      </c>
      <c r="N18">
        <v>13</v>
      </c>
      <c r="P18">
        <v>13</v>
      </c>
      <c r="Z18" s="28">
        <v>12</v>
      </c>
    </row>
    <row r="19" spans="3:26" ht="18.75">
      <c r="C19" s="26"/>
      <c r="D19" s="26"/>
      <c r="F19">
        <v>8</v>
      </c>
      <c r="J19" s="28">
        <v>13</v>
      </c>
      <c r="K19" s="28"/>
      <c r="L19">
        <v>14</v>
      </c>
      <c r="N19">
        <v>14</v>
      </c>
      <c r="P19">
        <v>14</v>
      </c>
      <c r="Z19" s="28">
        <v>13</v>
      </c>
    </row>
    <row r="20" spans="3:26">
      <c r="C20" s="30" t="s">
        <v>330</v>
      </c>
      <c r="D20" s="30"/>
      <c r="F20" t="s">
        <v>35</v>
      </c>
      <c r="J20" s="28">
        <v>14</v>
      </c>
      <c r="K20" s="28"/>
      <c r="L20">
        <v>15</v>
      </c>
      <c r="N20">
        <v>15</v>
      </c>
      <c r="P20">
        <v>15</v>
      </c>
      <c r="Z20" s="28">
        <v>14</v>
      </c>
    </row>
    <row r="21" spans="3:26">
      <c r="C21" s="28">
        <v>1</v>
      </c>
      <c r="D21" s="28"/>
      <c r="J21" s="28">
        <v>15</v>
      </c>
      <c r="K21" s="28"/>
      <c r="L21">
        <v>16</v>
      </c>
      <c r="N21">
        <v>16</v>
      </c>
      <c r="P21">
        <v>16</v>
      </c>
      <c r="Z21" s="28">
        <v>15</v>
      </c>
    </row>
    <row r="22" spans="3:26">
      <c r="C22" s="28" t="s">
        <v>322</v>
      </c>
      <c r="D22" s="28"/>
      <c r="J22" s="35" t="s">
        <v>35</v>
      </c>
      <c r="K22" s="35"/>
      <c r="L22">
        <v>17</v>
      </c>
      <c r="N22">
        <v>17</v>
      </c>
      <c r="P22">
        <v>17</v>
      </c>
      <c r="Z22" s="35" t="s">
        <v>35</v>
      </c>
    </row>
    <row r="23" spans="3:26">
      <c r="C23" s="28">
        <v>3</v>
      </c>
      <c r="D23" s="28"/>
      <c r="L23">
        <v>18</v>
      </c>
      <c r="N23">
        <v>18</v>
      </c>
      <c r="P23">
        <v>18</v>
      </c>
    </row>
    <row r="24" spans="3:26">
      <c r="C24" s="28">
        <v>4</v>
      </c>
      <c r="D24" s="28"/>
      <c r="L24">
        <v>19</v>
      </c>
      <c r="N24">
        <v>19</v>
      </c>
      <c r="P24">
        <v>19</v>
      </c>
    </row>
    <row r="25" spans="3:26">
      <c r="C25" s="28">
        <v>5</v>
      </c>
      <c r="D25" s="28"/>
      <c r="L25">
        <v>20</v>
      </c>
      <c r="N25">
        <v>20</v>
      </c>
      <c r="P25">
        <v>20</v>
      </c>
    </row>
    <row r="26" spans="3:26">
      <c r="C26" s="35">
        <v>0</v>
      </c>
      <c r="D26" s="35"/>
      <c r="L26">
        <v>21</v>
      </c>
      <c r="N26" t="s">
        <v>343</v>
      </c>
      <c r="P26" t="s">
        <v>343</v>
      </c>
    </row>
    <row r="27" spans="3:26">
      <c r="C27" s="30" t="s">
        <v>332</v>
      </c>
      <c r="D27" s="30"/>
      <c r="L27">
        <v>22</v>
      </c>
      <c r="N27" t="s">
        <v>35</v>
      </c>
      <c r="P27" t="s">
        <v>35</v>
      </c>
    </row>
    <row r="28" spans="3:26">
      <c r="C28" s="28">
        <v>1</v>
      </c>
      <c r="D28" s="28"/>
      <c r="L28">
        <v>23</v>
      </c>
    </row>
    <row r="29" spans="3:26">
      <c r="C29" s="28">
        <v>2</v>
      </c>
      <c r="D29" s="28"/>
      <c r="L29">
        <v>24</v>
      </c>
    </row>
    <row r="30" spans="3:26">
      <c r="C30" s="28">
        <v>3</v>
      </c>
      <c r="D30" s="28"/>
      <c r="L30">
        <v>25</v>
      </c>
    </row>
    <row r="31" spans="3:26">
      <c r="C31" s="35">
        <v>0</v>
      </c>
      <c r="D31" s="35"/>
      <c r="L31">
        <v>26</v>
      </c>
    </row>
    <row r="32" spans="3:26" ht="18.75">
      <c r="D32" s="27"/>
      <c r="L32">
        <v>27</v>
      </c>
    </row>
    <row r="33" spans="3:12" ht="18.75">
      <c r="C33" s="30" t="s">
        <v>357</v>
      </c>
      <c r="D33" s="24"/>
      <c r="L33">
        <v>28</v>
      </c>
    </row>
    <row r="34" spans="3:12" ht="18.75">
      <c r="C34">
        <v>0</v>
      </c>
      <c r="D34" s="26"/>
      <c r="L34">
        <v>29</v>
      </c>
    </row>
    <row r="35" spans="3:12" ht="18.75">
      <c r="C35">
        <v>1</v>
      </c>
      <c r="D35" s="24"/>
      <c r="L35">
        <v>30</v>
      </c>
    </row>
    <row r="36" spans="3:12" ht="18.75">
      <c r="C36">
        <v>2</v>
      </c>
      <c r="D36" s="24"/>
      <c r="L36" t="s">
        <v>341</v>
      </c>
    </row>
    <row r="37" spans="3:12" ht="18.75">
      <c r="C37">
        <v>3</v>
      </c>
      <c r="D37" s="26"/>
      <c r="L37" t="s">
        <v>35</v>
      </c>
    </row>
    <row r="38" spans="3:12" ht="18.75">
      <c r="D38" s="24"/>
    </row>
    <row r="39" spans="3:12" ht="18.75">
      <c r="C39" s="30" t="s">
        <v>358</v>
      </c>
      <c r="D39" s="24"/>
    </row>
    <row r="40" spans="3:12" ht="18.75">
      <c r="C40">
        <v>0</v>
      </c>
      <c r="D40" s="26"/>
    </row>
    <row r="41" spans="3:12" ht="18.75">
      <c r="C41">
        <v>1</v>
      </c>
      <c r="D41" s="23"/>
    </row>
    <row r="42" spans="3:12" ht="18.75">
      <c r="C42">
        <v>2</v>
      </c>
      <c r="D42" s="23"/>
    </row>
    <row r="43" spans="3:12" ht="18.75">
      <c r="D43" s="23"/>
    </row>
    <row r="44" spans="3:12" ht="18.75">
      <c r="D44" s="23"/>
    </row>
    <row r="45" spans="3:12" ht="18.75">
      <c r="D45" s="23"/>
    </row>
    <row r="46" spans="3:12" ht="18.75">
      <c r="D46" s="23"/>
    </row>
    <row r="47" spans="3:12" ht="18.75">
      <c r="D47" s="24"/>
    </row>
    <row r="48" spans="3:12" ht="18.75">
      <c r="D48" s="23"/>
    </row>
  </sheetData>
  <pageMargins left="0.7" right="0.7" top="0.75" bottom="0.75" header="0.3" footer="0.3"/>
  <pageSetup orientation="portrait" horizontalDpi="1200" verticalDpi="1200" r:id="rId1"/>
  <tableParts count="2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V570"/>
  <sheetViews>
    <sheetView zoomScale="40" zoomScaleNormal="40" workbookViewId="0">
      <selection activeCell="J40" sqref="J40"/>
    </sheetView>
  </sheetViews>
  <sheetFormatPr defaultColWidth="0" defaultRowHeight="16.5" zeroHeight="1"/>
  <cols>
    <col min="1" max="1" width="8.5" style="3" customWidth="1"/>
    <col min="2" max="2" width="74" style="3" customWidth="1"/>
    <col min="3" max="3" width="16.125" style="3" customWidth="1"/>
    <col min="4" max="4" width="21.25" style="3" customWidth="1"/>
    <col min="5" max="5" width="12.625" style="3" customWidth="1"/>
    <col min="6" max="7" width="22.625" style="3" customWidth="1"/>
    <col min="8" max="8" width="4.875" style="3" customWidth="1"/>
    <col min="9" max="9" width="47.625" style="3" customWidth="1"/>
    <col min="10" max="10" width="10.375" style="3" customWidth="1"/>
    <col min="11" max="11" width="76.75" style="3" customWidth="1"/>
    <col min="12" max="12" width="96" style="3" bestFit="1" customWidth="1"/>
    <col min="13" max="13" width="15.5" style="3" customWidth="1"/>
    <col min="14" max="14" width="3.875" style="3" hidden="1" customWidth="1"/>
    <col min="15" max="16" width="4.875" style="3" hidden="1" customWidth="1"/>
    <col min="17" max="16384" width="8.875" hidden="1"/>
  </cols>
  <sheetData>
    <row r="1" spans="1:22" ht="70.5" customHeight="1">
      <c r="A1" s="272" t="s">
        <v>10</v>
      </c>
      <c r="B1" s="272" t="s">
        <v>40</v>
      </c>
      <c r="C1" s="272" t="s">
        <v>19</v>
      </c>
      <c r="D1" s="272" t="s">
        <v>568</v>
      </c>
      <c r="E1" s="272" t="s">
        <v>21</v>
      </c>
      <c r="F1" s="272" t="s">
        <v>31</v>
      </c>
      <c r="G1" s="271"/>
      <c r="H1" s="269" t="s">
        <v>10</v>
      </c>
      <c r="I1" s="269" t="s">
        <v>126</v>
      </c>
      <c r="J1" s="270" t="s">
        <v>142</v>
      </c>
      <c r="K1" s="269" t="s">
        <v>140</v>
      </c>
      <c r="L1" s="269" t="s">
        <v>554</v>
      </c>
      <c r="M1" s="269" t="s">
        <v>127</v>
      </c>
      <c r="Q1" s="3"/>
      <c r="R1" s="3"/>
      <c r="S1" s="3"/>
      <c r="T1" s="3"/>
      <c r="U1" s="3"/>
      <c r="V1" s="3"/>
    </row>
    <row r="2" spans="1:22" ht="16.350000000000001" customHeight="1">
      <c r="A2" s="5">
        <v>1</v>
      </c>
      <c r="B2" s="4" t="s">
        <v>39</v>
      </c>
      <c r="C2" s="12" t="s">
        <v>9</v>
      </c>
      <c r="D2" s="4" t="s">
        <v>50</v>
      </c>
      <c r="E2" s="22">
        <v>1.3239583333333333</v>
      </c>
      <c r="F2" s="7" t="s">
        <v>0</v>
      </c>
      <c r="G2" s="7"/>
      <c r="H2" s="273">
        <v>0</v>
      </c>
      <c r="I2" s="274" t="s">
        <v>128</v>
      </c>
      <c r="J2" s="274" t="s">
        <v>125</v>
      </c>
      <c r="K2" s="274" t="s">
        <v>187</v>
      </c>
      <c r="L2" s="274" t="s">
        <v>569</v>
      </c>
      <c r="M2" s="275">
        <v>0.10876229929051531</v>
      </c>
      <c r="Q2" s="3"/>
      <c r="R2" s="3"/>
      <c r="S2" s="3"/>
      <c r="T2" s="3"/>
      <c r="U2" s="3"/>
      <c r="V2" s="3"/>
    </row>
    <row r="3" spans="1:22" ht="16.350000000000001" customHeight="1">
      <c r="A3" s="5">
        <v>2</v>
      </c>
      <c r="B3" s="4" t="s">
        <v>78</v>
      </c>
      <c r="C3" s="12" t="s">
        <v>9</v>
      </c>
      <c r="D3" s="4" t="s">
        <v>178</v>
      </c>
      <c r="E3" s="22">
        <v>0.9720833333333333</v>
      </c>
      <c r="F3" s="7" t="s">
        <v>0</v>
      </c>
      <c r="G3" s="7"/>
      <c r="H3" s="20">
        <v>1</v>
      </c>
      <c r="I3" s="21" t="s">
        <v>124</v>
      </c>
      <c r="J3" s="21" t="s">
        <v>50</v>
      </c>
      <c r="K3" s="21" t="s">
        <v>181</v>
      </c>
      <c r="L3" s="21" t="s">
        <v>563</v>
      </c>
      <c r="M3" s="281">
        <v>1.9181249999999999</v>
      </c>
      <c r="Q3" s="3"/>
      <c r="R3" s="3"/>
      <c r="S3" s="3"/>
      <c r="T3" s="3"/>
      <c r="U3" s="3"/>
      <c r="V3" s="3"/>
    </row>
    <row r="4" spans="1:22" ht="16.350000000000001" customHeight="1">
      <c r="A4" s="5">
        <v>3</v>
      </c>
      <c r="B4" s="4" t="s">
        <v>135</v>
      </c>
      <c r="C4" s="12" t="s">
        <v>9</v>
      </c>
      <c r="D4" s="4" t="s">
        <v>51</v>
      </c>
      <c r="E4" s="22">
        <v>1.0766666666666667</v>
      </c>
      <c r="F4" s="7" t="s">
        <v>0</v>
      </c>
      <c r="G4" s="7"/>
      <c r="H4" s="276">
        <v>2</v>
      </c>
      <c r="I4" s="277" t="s">
        <v>121</v>
      </c>
      <c r="J4" s="277" t="s">
        <v>51</v>
      </c>
      <c r="K4" s="277" t="s">
        <v>182</v>
      </c>
      <c r="L4" s="277" t="s">
        <v>188</v>
      </c>
      <c r="M4" s="278">
        <v>1.0766666666666667</v>
      </c>
      <c r="Q4" s="3"/>
      <c r="R4" s="3"/>
      <c r="S4" s="3"/>
      <c r="T4" s="3"/>
      <c r="U4" s="3"/>
      <c r="V4" s="3"/>
    </row>
    <row r="5" spans="1:22" ht="16.350000000000001" customHeight="1">
      <c r="A5" s="5">
        <v>4</v>
      </c>
      <c r="B5" s="4" t="s">
        <v>8</v>
      </c>
      <c r="C5" s="12" t="s">
        <v>9</v>
      </c>
      <c r="D5" s="4" t="s">
        <v>50</v>
      </c>
      <c r="E5" s="22">
        <v>0.59416666666666662</v>
      </c>
      <c r="F5" s="7" t="s">
        <v>0</v>
      </c>
      <c r="G5" s="7"/>
      <c r="H5" s="279">
        <v>3</v>
      </c>
      <c r="I5" s="280" t="s">
        <v>122</v>
      </c>
      <c r="J5" s="280" t="s">
        <v>52</v>
      </c>
      <c r="K5" s="280" t="s">
        <v>183</v>
      </c>
      <c r="L5" s="280" t="s">
        <v>564</v>
      </c>
      <c r="M5" s="281">
        <v>0.83687500000000015</v>
      </c>
      <c r="Q5" s="3"/>
      <c r="R5" s="3"/>
      <c r="S5" s="3"/>
      <c r="T5" s="3"/>
      <c r="U5" s="3"/>
      <c r="V5" s="3"/>
    </row>
    <row r="6" spans="1:22" ht="16.350000000000001" customHeight="1">
      <c r="A6" s="5">
        <v>5</v>
      </c>
      <c r="B6" s="4" t="s">
        <v>1</v>
      </c>
      <c r="C6" s="12" t="s">
        <v>9</v>
      </c>
      <c r="D6" s="4" t="s">
        <v>178</v>
      </c>
      <c r="E6" s="22">
        <v>1.3239583333333333</v>
      </c>
      <c r="F6" s="7" t="s">
        <v>0</v>
      </c>
      <c r="G6" s="7"/>
      <c r="H6" s="276">
        <v>4</v>
      </c>
      <c r="I6" s="277" t="s">
        <v>264</v>
      </c>
      <c r="J6" s="282" t="s">
        <v>53</v>
      </c>
      <c r="K6" s="277" t="s">
        <v>556</v>
      </c>
      <c r="L6" s="277" t="s">
        <v>189</v>
      </c>
      <c r="M6" s="278">
        <v>0.20695607131240837</v>
      </c>
      <c r="Q6" s="3"/>
      <c r="R6" s="3"/>
      <c r="S6" s="3"/>
      <c r="T6" s="3"/>
      <c r="U6" s="3"/>
      <c r="V6" s="3"/>
    </row>
    <row r="7" spans="1:22" ht="16.350000000000001" customHeight="1">
      <c r="A7" s="5">
        <v>6</v>
      </c>
      <c r="B7" s="4" t="s">
        <v>2</v>
      </c>
      <c r="C7" s="12" t="s">
        <v>9</v>
      </c>
      <c r="D7" s="4" t="s">
        <v>55</v>
      </c>
      <c r="E7" s="22">
        <v>1.3239583333333333</v>
      </c>
      <c r="F7" s="7" t="s">
        <v>0</v>
      </c>
      <c r="G7" s="7"/>
      <c r="H7" s="279">
        <v>5</v>
      </c>
      <c r="I7" s="280" t="s">
        <v>123</v>
      </c>
      <c r="J7" s="280" t="s">
        <v>54</v>
      </c>
      <c r="K7" s="280" t="s">
        <v>179</v>
      </c>
      <c r="L7" s="280" t="s">
        <v>593</v>
      </c>
      <c r="M7" s="281">
        <v>3.3333333333333335</v>
      </c>
      <c r="Q7" s="3"/>
      <c r="R7" s="3"/>
      <c r="S7" s="3"/>
      <c r="T7" s="3"/>
      <c r="U7" s="3"/>
      <c r="V7" s="3"/>
    </row>
    <row r="8" spans="1:22" ht="16.350000000000001" customHeight="1">
      <c r="A8" s="5">
        <v>7</v>
      </c>
      <c r="B8" s="4" t="s">
        <v>3</v>
      </c>
      <c r="C8" s="12" t="s">
        <v>9</v>
      </c>
      <c r="D8" s="4" t="s">
        <v>55</v>
      </c>
      <c r="E8" s="22">
        <v>0.9720833333333333</v>
      </c>
      <c r="F8" s="7" t="s">
        <v>0</v>
      </c>
      <c r="G8" s="7"/>
      <c r="H8" s="276">
        <v>6</v>
      </c>
      <c r="I8" s="277" t="s">
        <v>184</v>
      </c>
      <c r="J8" s="277" t="s">
        <v>55</v>
      </c>
      <c r="K8" s="277" t="s">
        <v>179</v>
      </c>
      <c r="L8" s="282" t="s">
        <v>565</v>
      </c>
      <c r="M8" s="278">
        <v>2.0870610119047619</v>
      </c>
      <c r="Q8" s="3"/>
      <c r="R8" s="3"/>
      <c r="S8" s="3"/>
      <c r="T8" s="3"/>
      <c r="U8" s="3"/>
      <c r="V8" s="3"/>
    </row>
    <row r="9" spans="1:22" ht="16.350000000000001" customHeight="1">
      <c r="A9" s="5">
        <v>8</v>
      </c>
      <c r="B9" s="4" t="s">
        <v>4</v>
      </c>
      <c r="C9" s="12" t="s">
        <v>9</v>
      </c>
      <c r="D9" s="4" t="s">
        <v>52</v>
      </c>
      <c r="E9" s="22">
        <v>0.83687500000000015</v>
      </c>
      <c r="F9" s="7" t="s">
        <v>0</v>
      </c>
      <c r="G9" s="7"/>
      <c r="H9" s="279">
        <v>7</v>
      </c>
      <c r="I9" s="280" t="s">
        <v>180</v>
      </c>
      <c r="J9" s="283" t="s">
        <v>77</v>
      </c>
      <c r="K9" s="280" t="s">
        <v>558</v>
      </c>
      <c r="L9" s="280" t="s">
        <v>566</v>
      </c>
      <c r="M9" s="281">
        <v>0.44630214695296783</v>
      </c>
      <c r="Q9" s="3"/>
      <c r="R9" s="3"/>
      <c r="S9" s="3"/>
      <c r="T9" s="3"/>
      <c r="U9" s="3"/>
      <c r="V9" s="3"/>
    </row>
    <row r="10" spans="1:22" ht="16.350000000000001" customHeight="1">
      <c r="A10" s="5">
        <v>9</v>
      </c>
      <c r="B10" s="4" t="s">
        <v>14</v>
      </c>
      <c r="C10" s="12" t="s">
        <v>9</v>
      </c>
      <c r="D10" s="4" t="s">
        <v>55</v>
      </c>
      <c r="E10" s="22">
        <v>0.82833333333333325</v>
      </c>
      <c r="F10" s="7" t="s">
        <v>0</v>
      </c>
      <c r="G10" s="7"/>
      <c r="H10" s="276">
        <v>8</v>
      </c>
      <c r="I10" s="277" t="s">
        <v>143</v>
      </c>
      <c r="J10" s="277" t="s">
        <v>79</v>
      </c>
      <c r="K10" s="277" t="s">
        <v>559</v>
      </c>
      <c r="L10" s="277" t="s">
        <v>567</v>
      </c>
      <c r="M10" s="278">
        <v>1.8452762904101745</v>
      </c>
      <c r="Q10" s="3"/>
      <c r="R10" s="3"/>
      <c r="S10" s="3"/>
      <c r="T10" s="3"/>
      <c r="U10" s="3"/>
      <c r="V10" s="3"/>
    </row>
    <row r="11" spans="1:22" ht="16.350000000000001" customHeight="1">
      <c r="A11" s="5">
        <v>10</v>
      </c>
      <c r="B11" s="4" t="s">
        <v>5</v>
      </c>
      <c r="C11" s="12" t="s">
        <v>9</v>
      </c>
      <c r="D11" s="4" t="s">
        <v>125</v>
      </c>
      <c r="E11" s="22">
        <v>0.75687499999999985</v>
      </c>
      <c r="F11" s="7" t="s">
        <v>0</v>
      </c>
      <c r="G11" s="7"/>
      <c r="H11" s="279">
        <v>9</v>
      </c>
      <c r="I11" s="280" t="s">
        <v>144</v>
      </c>
      <c r="J11" s="280" t="s">
        <v>80</v>
      </c>
      <c r="K11" s="280" t="s">
        <v>560</v>
      </c>
      <c r="L11" s="280" t="s">
        <v>591</v>
      </c>
      <c r="M11" s="281">
        <v>1.2050546212121214</v>
      </c>
      <c r="Q11" s="3"/>
      <c r="R11" s="3"/>
      <c r="S11" s="3"/>
      <c r="T11" s="3"/>
      <c r="U11" s="3"/>
      <c r="V11" s="3"/>
    </row>
    <row r="12" spans="1:22" ht="16.350000000000001" customHeight="1">
      <c r="A12" s="5">
        <v>11</v>
      </c>
      <c r="B12" s="4" t="s">
        <v>6</v>
      </c>
      <c r="C12" s="12" t="s">
        <v>9</v>
      </c>
      <c r="D12" s="4" t="s">
        <v>125</v>
      </c>
      <c r="E12" s="22">
        <v>0.6177083333333333</v>
      </c>
      <c r="F12" s="7" t="s">
        <v>0</v>
      </c>
      <c r="G12" s="7"/>
      <c r="H12" s="276">
        <v>10</v>
      </c>
      <c r="I12" s="277" t="s">
        <v>145</v>
      </c>
      <c r="J12" s="277" t="s">
        <v>81</v>
      </c>
      <c r="K12" s="277" t="s">
        <v>561</v>
      </c>
      <c r="L12" s="277" t="s">
        <v>567</v>
      </c>
      <c r="M12" s="278">
        <v>0.93812583838383845</v>
      </c>
      <c r="Q12" s="3"/>
      <c r="R12" s="3"/>
      <c r="S12" s="3"/>
      <c r="T12" s="3"/>
      <c r="U12" s="3"/>
      <c r="V12" s="3"/>
    </row>
    <row r="13" spans="1:22" ht="16.350000000000001" customHeight="1">
      <c r="A13" s="5">
        <v>12</v>
      </c>
      <c r="B13" s="4" t="s">
        <v>11</v>
      </c>
      <c r="C13" s="12" t="s">
        <v>9</v>
      </c>
      <c r="D13" s="4" t="s">
        <v>54</v>
      </c>
      <c r="E13" s="22">
        <v>3.3333333333333335</v>
      </c>
      <c r="F13" s="7" t="s">
        <v>0</v>
      </c>
      <c r="G13" s="7"/>
      <c r="H13" s="279">
        <v>11</v>
      </c>
      <c r="I13" s="280" t="s">
        <v>146</v>
      </c>
      <c r="J13" s="280" t="s">
        <v>185</v>
      </c>
      <c r="K13" s="280" t="s">
        <v>557</v>
      </c>
      <c r="L13" s="280" t="s">
        <v>592</v>
      </c>
      <c r="M13" s="281">
        <v>2.0888194444444443</v>
      </c>
      <c r="Q13" s="3"/>
      <c r="R13" s="3"/>
      <c r="S13" s="3"/>
      <c r="T13" s="3"/>
      <c r="U13" s="3"/>
      <c r="V13" s="3"/>
    </row>
    <row r="14" spans="1:22" ht="16.350000000000001" customHeight="1">
      <c r="A14" s="5">
        <v>13</v>
      </c>
      <c r="B14" s="4" t="s">
        <v>12</v>
      </c>
      <c r="C14" s="12" t="s">
        <v>9</v>
      </c>
      <c r="D14" s="4" t="s">
        <v>178</v>
      </c>
      <c r="E14" s="22">
        <v>3.3333333333333335</v>
      </c>
      <c r="F14" s="7" t="s">
        <v>0</v>
      </c>
      <c r="G14" s="7"/>
      <c r="H14" s="276">
        <v>12</v>
      </c>
      <c r="I14" s="277" t="s">
        <v>555</v>
      </c>
      <c r="J14" s="277" t="s">
        <v>186</v>
      </c>
      <c r="K14" s="277" t="s">
        <v>562</v>
      </c>
      <c r="L14" s="277" t="s">
        <v>39</v>
      </c>
      <c r="M14" s="278">
        <v>3.1931250000000002</v>
      </c>
      <c r="Q14" s="3"/>
      <c r="R14" s="3"/>
      <c r="S14" s="3"/>
      <c r="T14" s="3"/>
      <c r="U14" s="3"/>
      <c r="V14" s="3"/>
    </row>
    <row r="15" spans="1:22" ht="16.350000000000001" customHeight="1">
      <c r="A15" s="5">
        <v>14</v>
      </c>
      <c r="B15" s="4" t="s">
        <v>7</v>
      </c>
      <c r="C15" s="12" t="s">
        <v>9</v>
      </c>
      <c r="D15" s="4" t="s">
        <v>185</v>
      </c>
      <c r="E15" s="22">
        <v>3.3333333333333335</v>
      </c>
      <c r="F15" s="7" t="s">
        <v>0</v>
      </c>
      <c r="G15" s="7"/>
      <c r="Q15" s="3"/>
      <c r="R15" s="3"/>
      <c r="S15" s="3"/>
      <c r="T15" s="3"/>
      <c r="U15" s="3"/>
      <c r="V15" s="3"/>
    </row>
    <row r="16" spans="1:22" ht="16.350000000000001" customHeight="1">
      <c r="A16" s="5">
        <v>15</v>
      </c>
      <c r="B16" s="4" t="s">
        <v>13</v>
      </c>
      <c r="C16" s="12" t="s">
        <v>9</v>
      </c>
      <c r="D16" s="4" t="s">
        <v>185</v>
      </c>
      <c r="E16" s="22">
        <v>0.7722916666666666</v>
      </c>
      <c r="F16" s="7" t="s">
        <v>0</v>
      </c>
      <c r="G16" s="7"/>
      <c r="Q16" s="3"/>
      <c r="R16" s="3"/>
      <c r="S16" s="3"/>
      <c r="T16" s="3"/>
      <c r="U16" s="3"/>
      <c r="V16" s="3"/>
    </row>
    <row r="17" spans="1:22" ht="16.350000000000001" customHeight="1">
      <c r="A17" s="5">
        <v>16</v>
      </c>
      <c r="B17" s="4" t="s">
        <v>15</v>
      </c>
      <c r="C17" s="12" t="s">
        <v>9</v>
      </c>
      <c r="D17" s="4" t="s">
        <v>141</v>
      </c>
      <c r="E17" s="22">
        <v>3.3333333333333335</v>
      </c>
      <c r="F17" s="7" t="s">
        <v>0</v>
      </c>
      <c r="G17" s="7"/>
      <c r="H17" s="2"/>
      <c r="Q17" s="3"/>
      <c r="R17" s="3"/>
      <c r="S17" s="3"/>
      <c r="T17" s="3"/>
      <c r="U17" s="3"/>
      <c r="V17" s="3"/>
    </row>
    <row r="18" spans="1:22" ht="16.350000000000001" customHeight="1">
      <c r="A18" s="5">
        <v>17</v>
      </c>
      <c r="B18" s="4" t="s">
        <v>16</v>
      </c>
      <c r="C18" s="12" t="s">
        <v>9</v>
      </c>
      <c r="D18" s="4" t="s">
        <v>141</v>
      </c>
      <c r="E18" s="22">
        <v>0.89208333333333334</v>
      </c>
      <c r="F18" s="7" t="s">
        <v>0</v>
      </c>
      <c r="G18" s="7"/>
      <c r="H18" s="2"/>
      <c r="Q18" s="3"/>
      <c r="R18" s="3"/>
      <c r="S18" s="3"/>
      <c r="T18" s="3"/>
      <c r="U18" s="3"/>
      <c r="V18" s="3"/>
    </row>
    <row r="19" spans="1:22" ht="16.350000000000001" customHeight="1">
      <c r="A19" s="5">
        <v>18</v>
      </c>
      <c r="B19" s="4" t="s">
        <v>41</v>
      </c>
      <c r="C19" s="12" t="s">
        <v>9</v>
      </c>
      <c r="D19" s="4" t="s">
        <v>178</v>
      </c>
      <c r="E19" s="22">
        <v>0.59875</v>
      </c>
      <c r="F19" s="7" t="s">
        <v>0</v>
      </c>
      <c r="G19" s="7"/>
      <c r="H19" s="2"/>
      <c r="Q19" s="3"/>
      <c r="R19" s="3"/>
      <c r="S19" s="3"/>
      <c r="T19" s="3"/>
      <c r="U19" s="3"/>
      <c r="V19" s="3"/>
    </row>
    <row r="20" spans="1:22" ht="16.350000000000001" customHeight="1">
      <c r="A20" s="5">
        <v>19</v>
      </c>
      <c r="B20" s="4" t="s">
        <v>42</v>
      </c>
      <c r="C20" s="12" t="s">
        <v>9</v>
      </c>
      <c r="D20" s="4" t="s">
        <v>178</v>
      </c>
      <c r="E20" s="22">
        <v>0.67125000000000001</v>
      </c>
      <c r="F20" s="7" t="s">
        <v>0</v>
      </c>
      <c r="G20" s="7"/>
      <c r="H20" s="2"/>
      <c r="Q20" s="3"/>
      <c r="R20" s="3"/>
      <c r="S20" s="3"/>
      <c r="T20" s="3"/>
      <c r="U20" s="3"/>
      <c r="V20" s="3"/>
    </row>
    <row r="21" spans="1:22" ht="16.350000000000001" customHeight="1">
      <c r="A21" s="5">
        <v>20</v>
      </c>
      <c r="B21" s="4" t="s">
        <v>43</v>
      </c>
      <c r="C21" s="12" t="s">
        <v>9</v>
      </c>
      <c r="D21" s="4" t="s">
        <v>178</v>
      </c>
      <c r="E21" s="22">
        <v>0.60416666666666663</v>
      </c>
      <c r="F21" s="7" t="s">
        <v>0</v>
      </c>
      <c r="G21" s="7"/>
      <c r="H21" s="2"/>
      <c r="Q21" s="3"/>
      <c r="R21" s="3"/>
      <c r="S21" s="3"/>
      <c r="T21" s="3"/>
      <c r="U21" s="3"/>
      <c r="V21" s="3"/>
    </row>
    <row r="22" spans="1:22" ht="21" customHeight="1">
      <c r="A22" s="5">
        <v>21</v>
      </c>
      <c r="B22" s="4" t="s">
        <v>570</v>
      </c>
      <c r="C22" s="12" t="s">
        <v>25</v>
      </c>
      <c r="D22" s="4" t="s">
        <v>53</v>
      </c>
      <c r="E22" s="22">
        <v>7500</v>
      </c>
      <c r="F22" s="7" t="s">
        <v>44</v>
      </c>
      <c r="G22" s="7"/>
      <c r="H22" s="2"/>
      <c r="Q22" s="3"/>
      <c r="R22" s="3"/>
      <c r="S22" s="3"/>
      <c r="T22" s="3"/>
      <c r="U22" s="3"/>
      <c r="V22" s="3"/>
    </row>
    <row r="23" spans="1:22" ht="20.25" customHeight="1">
      <c r="A23" s="5">
        <v>22</v>
      </c>
      <c r="B23" s="4" t="s">
        <v>289</v>
      </c>
      <c r="C23" s="12" t="s">
        <v>25</v>
      </c>
      <c r="D23" s="4" t="s">
        <v>53</v>
      </c>
      <c r="E23" s="22">
        <v>461.4</v>
      </c>
      <c r="F23" s="7" t="s">
        <v>44</v>
      </c>
      <c r="G23" s="7"/>
      <c r="H23" s="2"/>
      <c r="Q23" s="3"/>
      <c r="R23" s="3"/>
      <c r="S23" s="3"/>
      <c r="T23" s="3"/>
      <c r="U23" s="3"/>
      <c r="V23" s="3"/>
    </row>
    <row r="24" spans="1:22" ht="15.75" customHeight="1">
      <c r="A24" s="5">
        <v>23</v>
      </c>
      <c r="B24" s="4" t="s">
        <v>572</v>
      </c>
      <c r="C24" s="12" t="s">
        <v>28</v>
      </c>
      <c r="D24" s="4" t="s">
        <v>125</v>
      </c>
      <c r="E24" s="22">
        <v>63675.947000000997</v>
      </c>
      <c r="F24" s="7" t="s">
        <v>44</v>
      </c>
      <c r="G24" s="7"/>
      <c r="H24" s="2"/>
      <c r="Q24" s="3"/>
      <c r="R24" s="3"/>
      <c r="S24" s="3"/>
      <c r="T24" s="3"/>
      <c r="U24" s="3"/>
      <c r="V24" s="3"/>
    </row>
    <row r="25" spans="1:22" ht="15.75" customHeight="1">
      <c r="A25" s="5">
        <v>24</v>
      </c>
      <c r="B25" s="4" t="s">
        <v>227</v>
      </c>
      <c r="C25" s="12" t="s">
        <v>28</v>
      </c>
      <c r="D25" s="4" t="s">
        <v>20</v>
      </c>
      <c r="E25" s="22">
        <v>163.80000000000001</v>
      </c>
      <c r="F25" s="7" t="s">
        <v>32</v>
      </c>
      <c r="G25" s="7"/>
      <c r="H25" s="2"/>
      <c r="Q25" s="3"/>
      <c r="R25" s="3"/>
      <c r="S25" s="3"/>
      <c r="T25" s="3"/>
      <c r="U25" s="3"/>
      <c r="V25" s="3"/>
    </row>
    <row r="26" spans="1:22" ht="15.75" customHeight="1">
      <c r="A26" s="5">
        <v>25</v>
      </c>
      <c r="B26" s="4" t="s">
        <v>228</v>
      </c>
      <c r="C26" s="12" t="s">
        <v>28</v>
      </c>
      <c r="D26" s="4" t="s">
        <v>20</v>
      </c>
      <c r="E26" s="22">
        <v>4.5</v>
      </c>
      <c r="F26" s="7" t="s">
        <v>32</v>
      </c>
      <c r="G26" s="7"/>
      <c r="H26" s="2"/>
      <c r="Q26" s="3"/>
      <c r="R26" s="3"/>
      <c r="S26" s="3"/>
      <c r="T26" s="3"/>
      <c r="U26" s="3"/>
      <c r="V26" s="3"/>
    </row>
    <row r="27" spans="1:22" ht="15.75" customHeight="1">
      <c r="A27" s="5">
        <v>26</v>
      </c>
      <c r="B27" s="4" t="s">
        <v>216</v>
      </c>
      <c r="C27" s="12" t="s">
        <v>28</v>
      </c>
      <c r="D27" s="4" t="s">
        <v>20</v>
      </c>
      <c r="E27" s="22">
        <v>160.88571428571427</v>
      </c>
      <c r="F27" s="7" t="s">
        <v>32</v>
      </c>
      <c r="G27" s="7"/>
      <c r="H27" s="2"/>
      <c r="Q27" s="3"/>
      <c r="R27" s="3"/>
      <c r="S27" s="3"/>
      <c r="T27" s="3"/>
      <c r="U27" s="3"/>
      <c r="V27" s="3"/>
    </row>
    <row r="28" spans="1:22" ht="15.75" customHeight="1">
      <c r="A28" s="5">
        <v>27</v>
      </c>
      <c r="B28" s="4" t="s">
        <v>217</v>
      </c>
      <c r="C28" s="12" t="s">
        <v>28</v>
      </c>
      <c r="D28" s="4" t="s">
        <v>20</v>
      </c>
      <c r="E28" s="22">
        <v>508.58571428571429</v>
      </c>
      <c r="F28" s="7" t="s">
        <v>32</v>
      </c>
      <c r="G28" s="7"/>
      <c r="H28" s="2"/>
      <c r="Q28" s="3"/>
      <c r="R28" s="3"/>
      <c r="S28" s="3"/>
      <c r="T28" s="3"/>
      <c r="U28" s="3"/>
      <c r="V28" s="3"/>
    </row>
    <row r="29" spans="1:22" ht="15.75" customHeight="1">
      <c r="A29" s="5">
        <v>28</v>
      </c>
      <c r="B29" s="4" t="s">
        <v>229</v>
      </c>
      <c r="C29" s="12" t="s">
        <v>28</v>
      </c>
      <c r="D29" s="4" t="s">
        <v>20</v>
      </c>
      <c r="E29" s="22">
        <v>28.885714285714286</v>
      </c>
      <c r="F29" s="7" t="s">
        <v>32</v>
      </c>
      <c r="G29" s="7"/>
      <c r="H29" s="2"/>
      <c r="Q29" s="3"/>
      <c r="R29" s="3"/>
      <c r="S29" s="3"/>
      <c r="T29" s="3"/>
      <c r="U29" s="3"/>
      <c r="V29" s="3"/>
    </row>
    <row r="30" spans="1:22" ht="16.350000000000001" customHeight="1">
      <c r="A30" s="5">
        <v>29</v>
      </c>
      <c r="B30" s="4" t="s">
        <v>30</v>
      </c>
      <c r="C30" s="12" t="s">
        <v>28</v>
      </c>
      <c r="D30" s="4" t="s">
        <v>20</v>
      </c>
      <c r="E30" s="22">
        <v>18.22</v>
      </c>
      <c r="F30" s="7" t="s">
        <v>32</v>
      </c>
      <c r="G30" s="7"/>
      <c r="H30" s="2"/>
      <c r="Q30" s="3"/>
      <c r="R30" s="3"/>
      <c r="S30" s="3"/>
      <c r="T30" s="3"/>
      <c r="U30" s="3"/>
      <c r="V30" s="3"/>
    </row>
    <row r="31" spans="1:22" ht="16.350000000000001" customHeight="1">
      <c r="A31" s="5">
        <v>30</v>
      </c>
      <c r="B31" s="4" t="s">
        <v>33</v>
      </c>
      <c r="C31" s="12" t="s">
        <v>27</v>
      </c>
      <c r="D31" s="4" t="s">
        <v>125</v>
      </c>
      <c r="E31" s="22" t="s">
        <v>573</v>
      </c>
      <c r="F31" s="7" t="s">
        <v>44</v>
      </c>
      <c r="G31" s="7"/>
      <c r="H31" s="2"/>
      <c r="Q31" s="3"/>
      <c r="R31" s="3"/>
      <c r="S31" s="3"/>
      <c r="T31" s="3"/>
      <c r="U31" s="3"/>
      <c r="V31" s="3"/>
    </row>
    <row r="32" spans="1:22" ht="16.350000000000001" customHeight="1">
      <c r="A32" s="5">
        <v>31</v>
      </c>
      <c r="B32" s="4" t="s">
        <v>571</v>
      </c>
      <c r="C32" s="12" t="s">
        <v>27</v>
      </c>
      <c r="D32" s="4" t="s">
        <v>125</v>
      </c>
      <c r="E32" s="22" t="s">
        <v>573</v>
      </c>
      <c r="F32" s="7" t="s">
        <v>44</v>
      </c>
      <c r="G32" s="7"/>
      <c r="H32" s="2"/>
      <c r="Q32" s="3"/>
      <c r="R32" s="3"/>
      <c r="S32" s="3"/>
      <c r="T32" s="3"/>
      <c r="U32" s="3"/>
      <c r="V32" s="3"/>
    </row>
    <row r="33" spans="1:22" ht="16.350000000000001" customHeight="1">
      <c r="A33" s="5">
        <v>32</v>
      </c>
      <c r="B33" s="4" t="s">
        <v>26</v>
      </c>
      <c r="C33" s="12" t="s">
        <v>27</v>
      </c>
      <c r="D33" s="4" t="s">
        <v>125</v>
      </c>
      <c r="E33" s="22" t="s">
        <v>573</v>
      </c>
      <c r="F33" s="7" t="s">
        <v>44</v>
      </c>
      <c r="G33" s="7"/>
      <c r="H33" s="2"/>
      <c r="Q33" s="3"/>
      <c r="R33" s="3"/>
      <c r="S33" s="3"/>
      <c r="T33" s="3"/>
      <c r="U33" s="3"/>
      <c r="V33" s="3"/>
    </row>
    <row r="34" spans="1:22" ht="16.350000000000001" customHeight="1">
      <c r="A34" s="5">
        <v>33</v>
      </c>
      <c r="B34" s="4" t="s">
        <v>38</v>
      </c>
      <c r="C34" s="12" t="s">
        <v>9</v>
      </c>
      <c r="D34" s="4" t="s">
        <v>125</v>
      </c>
      <c r="E34" s="22" t="s">
        <v>573</v>
      </c>
      <c r="F34" s="7" t="s">
        <v>44</v>
      </c>
      <c r="G34" s="7"/>
      <c r="H34" s="2"/>
      <c r="Q34" s="3"/>
      <c r="R34" s="3"/>
      <c r="S34" s="3"/>
      <c r="T34" s="3"/>
      <c r="U34" s="3"/>
      <c r="V34" s="3"/>
    </row>
    <row r="35" spans="1:22" ht="16.350000000000001" customHeight="1">
      <c r="A35" s="5">
        <v>34</v>
      </c>
      <c r="B35" s="4" t="s">
        <v>574</v>
      </c>
      <c r="C35" s="12" t="s">
        <v>9</v>
      </c>
      <c r="D35" s="4" t="s">
        <v>125</v>
      </c>
      <c r="E35" s="22" t="s">
        <v>573</v>
      </c>
      <c r="F35" s="7" t="s">
        <v>44</v>
      </c>
      <c r="G35" s="7"/>
      <c r="H35" s="2"/>
      <c r="Q35" s="3"/>
      <c r="R35" s="3"/>
      <c r="S35" s="3"/>
      <c r="T35" s="3"/>
      <c r="U35" s="3"/>
      <c r="V35" s="3"/>
    </row>
    <row r="36" spans="1:22" ht="16.350000000000001" customHeight="1">
      <c r="A36" s="5">
        <v>35</v>
      </c>
      <c r="B36" s="4" t="s">
        <v>575</v>
      </c>
      <c r="C36" s="12" t="s">
        <v>27</v>
      </c>
      <c r="D36" s="4" t="s">
        <v>125</v>
      </c>
      <c r="E36" s="22" t="s">
        <v>573</v>
      </c>
      <c r="F36" s="7" t="s">
        <v>44</v>
      </c>
      <c r="G36" s="7"/>
      <c r="H36" s="2"/>
      <c r="Q36" s="3"/>
      <c r="R36" s="3"/>
      <c r="S36" s="3"/>
      <c r="T36" s="3"/>
      <c r="U36" s="3"/>
      <c r="V36" s="3"/>
    </row>
    <row r="37" spans="1:22" ht="16.350000000000001" customHeight="1">
      <c r="A37" s="5">
        <v>36</v>
      </c>
      <c r="B37" s="4" t="s">
        <v>288</v>
      </c>
      <c r="C37" s="12" t="s">
        <v>138</v>
      </c>
      <c r="D37" s="4" t="s">
        <v>20</v>
      </c>
      <c r="E37" s="22">
        <v>26.86</v>
      </c>
      <c r="F37" s="7" t="s">
        <v>37</v>
      </c>
      <c r="G37" s="7"/>
      <c r="H37" s="2"/>
      <c r="Q37" s="3"/>
      <c r="R37" s="3"/>
      <c r="S37" s="3"/>
      <c r="T37" s="3"/>
      <c r="U37" s="3"/>
      <c r="V37" s="3"/>
    </row>
    <row r="38" spans="1:22" ht="16.350000000000001" customHeight="1">
      <c r="A38" s="5">
        <v>37</v>
      </c>
      <c r="B38" s="4" t="s">
        <v>287</v>
      </c>
      <c r="C38" s="12" t="s">
        <v>138</v>
      </c>
      <c r="D38" s="4" t="s">
        <v>20</v>
      </c>
      <c r="E38" s="22">
        <v>110.64</v>
      </c>
      <c r="F38" s="7" t="s">
        <v>37</v>
      </c>
      <c r="G38" s="7"/>
      <c r="H38" s="2"/>
      <c r="Q38" s="3"/>
      <c r="R38" s="3"/>
      <c r="S38" s="3"/>
      <c r="T38" s="3"/>
      <c r="U38" s="3"/>
      <c r="V38" s="3"/>
    </row>
    <row r="39" spans="1:22" ht="16.350000000000001" customHeight="1">
      <c r="A39" s="5">
        <v>38</v>
      </c>
      <c r="B39" s="4" t="s">
        <v>290</v>
      </c>
      <c r="C39" s="12" t="s">
        <v>138</v>
      </c>
      <c r="D39" s="4" t="s">
        <v>20</v>
      </c>
      <c r="E39" s="22">
        <v>71.95</v>
      </c>
      <c r="F39" s="7" t="s">
        <v>37</v>
      </c>
      <c r="G39" s="7"/>
      <c r="H39" s="2"/>
      <c r="Q39" s="3"/>
      <c r="R39" s="3"/>
      <c r="S39" s="3"/>
      <c r="T39" s="3"/>
      <c r="U39" s="3"/>
      <c r="V39" s="3"/>
    </row>
    <row r="40" spans="1:22" ht="16.350000000000001" customHeight="1">
      <c r="A40" s="5">
        <v>39</v>
      </c>
      <c r="B40" s="4" t="s">
        <v>76</v>
      </c>
      <c r="C40" s="12" t="s">
        <v>138</v>
      </c>
      <c r="D40" s="4" t="s">
        <v>20</v>
      </c>
      <c r="E40" s="22">
        <v>31.48</v>
      </c>
      <c r="F40" s="7" t="s">
        <v>37</v>
      </c>
      <c r="G40" s="7"/>
      <c r="H40" s="2"/>
      <c r="Q40" s="3"/>
      <c r="R40" s="3"/>
      <c r="S40" s="3"/>
      <c r="T40" s="3"/>
      <c r="U40" s="3"/>
      <c r="V40" s="3"/>
    </row>
    <row r="41" spans="1:22" ht="16.350000000000001" customHeight="1">
      <c r="A41" s="5">
        <v>40</v>
      </c>
      <c r="B41" s="4" t="s">
        <v>136</v>
      </c>
      <c r="C41" s="12" t="s">
        <v>25</v>
      </c>
      <c r="D41" s="4" t="s">
        <v>79</v>
      </c>
      <c r="E41" s="22">
        <v>37415.634999999995</v>
      </c>
      <c r="F41" s="6" t="s">
        <v>139</v>
      </c>
      <c r="G41" s="6"/>
      <c r="Q41" s="3"/>
      <c r="R41" s="3"/>
      <c r="S41" s="3"/>
      <c r="T41" s="3"/>
      <c r="U41" s="3"/>
      <c r="V41" s="3"/>
    </row>
    <row r="42" spans="1:22" ht="16.350000000000001" customHeight="1">
      <c r="A42" s="5">
        <v>41</v>
      </c>
      <c r="B42" s="4" t="s">
        <v>137</v>
      </c>
      <c r="C42" s="12" t="s">
        <v>25</v>
      </c>
      <c r="D42" s="4" t="s">
        <v>80</v>
      </c>
      <c r="E42" s="22">
        <v>46768.863000000005</v>
      </c>
      <c r="F42" s="6" t="s">
        <v>139</v>
      </c>
      <c r="G42" s="6"/>
      <c r="Q42" s="3"/>
      <c r="R42" s="3"/>
      <c r="S42" s="3"/>
      <c r="T42" s="3"/>
      <c r="U42" s="3"/>
      <c r="V42" s="3"/>
    </row>
    <row r="43" spans="1:22" ht="16.350000000000001" customHeight="1">
      <c r="A43" s="5">
        <v>42</v>
      </c>
      <c r="B43" s="4" t="s">
        <v>576</v>
      </c>
      <c r="C43" s="12" t="s">
        <v>25</v>
      </c>
      <c r="D43" s="4" t="s">
        <v>81</v>
      </c>
      <c r="E43" s="22">
        <v>21854.836000000003</v>
      </c>
      <c r="F43" s="6" t="s">
        <v>139</v>
      </c>
      <c r="G43" s="6"/>
      <c r="Q43" s="3"/>
      <c r="R43" s="3"/>
      <c r="S43" s="3"/>
      <c r="T43" s="3"/>
      <c r="U43" s="3"/>
      <c r="V43" s="3"/>
    </row>
    <row r="44" spans="1:22" ht="16.350000000000001" customHeight="1">
      <c r="A44" s="5">
        <v>43</v>
      </c>
      <c r="B44" s="4" t="s">
        <v>577</v>
      </c>
      <c r="C44" s="12" t="s">
        <v>25</v>
      </c>
      <c r="D44" s="4" t="s">
        <v>77</v>
      </c>
      <c r="E44" s="22">
        <v>11935.479000000001</v>
      </c>
      <c r="F44" s="6" t="s">
        <v>139</v>
      </c>
      <c r="G44" s="6"/>
      <c r="Q44" s="3"/>
      <c r="R44" s="3"/>
      <c r="S44" s="3"/>
      <c r="T44" s="3"/>
      <c r="U44" s="3"/>
      <c r="V44" s="3"/>
    </row>
    <row r="45" spans="1:22" ht="16.350000000000001" customHeight="1">
      <c r="A45" s="5">
        <v>44</v>
      </c>
      <c r="B45" s="4" t="s">
        <v>291</v>
      </c>
      <c r="C45" s="12" t="s">
        <v>36</v>
      </c>
      <c r="D45" s="4" t="s">
        <v>20</v>
      </c>
      <c r="E45" s="22">
        <v>13.0106</v>
      </c>
      <c r="F45" s="7" t="s">
        <v>37</v>
      </c>
      <c r="G45" s="7"/>
      <c r="Q45" s="3"/>
      <c r="R45" s="3"/>
      <c r="S45" s="3"/>
      <c r="T45" s="3"/>
      <c r="U45" s="3"/>
      <c r="V45" s="3"/>
    </row>
    <row r="46" spans="1:22" ht="16.350000000000001" customHeight="1">
      <c r="A46" s="5">
        <v>45</v>
      </c>
      <c r="B46" s="4" t="s">
        <v>292</v>
      </c>
      <c r="C46" s="12" t="s">
        <v>36</v>
      </c>
      <c r="D46" s="4" t="s">
        <v>20</v>
      </c>
      <c r="E46" s="22">
        <v>33.114069999999998</v>
      </c>
      <c r="F46" s="7" t="s">
        <v>37</v>
      </c>
      <c r="G46" s="7"/>
      <c r="Q46" s="3"/>
      <c r="R46" s="3"/>
      <c r="S46" s="3"/>
      <c r="T46" s="3"/>
      <c r="U46" s="3"/>
      <c r="V46" s="3"/>
    </row>
    <row r="47" spans="1:22" ht="16.350000000000001" customHeight="1">
      <c r="A47" s="5">
        <v>46</v>
      </c>
      <c r="B47" s="4" t="s">
        <v>293</v>
      </c>
      <c r="C47" s="12" t="s">
        <v>36</v>
      </c>
      <c r="D47" s="4" t="s">
        <v>20</v>
      </c>
      <c r="E47" s="22">
        <v>42.026833333333336</v>
      </c>
      <c r="F47" s="7" t="s">
        <v>37</v>
      </c>
      <c r="G47" s="7"/>
      <c r="Q47" s="3"/>
      <c r="R47" s="3"/>
      <c r="S47" s="3"/>
      <c r="T47" s="3"/>
      <c r="U47" s="3"/>
      <c r="V47" s="3"/>
    </row>
    <row r="48" spans="1:22" ht="16.350000000000001" customHeight="1">
      <c r="A48" s="5">
        <v>47</v>
      </c>
      <c r="B48" s="4" t="s">
        <v>294</v>
      </c>
      <c r="C48" s="12" t="s">
        <v>36</v>
      </c>
      <c r="D48" s="4" t="s">
        <v>20</v>
      </c>
      <c r="E48" s="22">
        <v>46.476100000000002</v>
      </c>
      <c r="F48" s="7" t="s">
        <v>37</v>
      </c>
      <c r="G48" s="7"/>
      <c r="Q48" s="3"/>
      <c r="R48" s="3"/>
      <c r="S48" s="3"/>
      <c r="T48" s="3"/>
      <c r="U48" s="3"/>
      <c r="V48" s="3"/>
    </row>
    <row r="49" spans="1:22" ht="16.350000000000001" customHeight="1">
      <c r="A49" s="5">
        <v>48</v>
      </c>
      <c r="B49" s="4" t="s">
        <v>190</v>
      </c>
      <c r="C49" s="12" t="s">
        <v>36</v>
      </c>
      <c r="D49" s="4" t="s">
        <v>20</v>
      </c>
      <c r="E49" s="22">
        <v>23.75</v>
      </c>
      <c r="F49" s="7" t="s">
        <v>37</v>
      </c>
      <c r="G49" s="7"/>
      <c r="Q49" s="3"/>
      <c r="R49" s="3"/>
      <c r="S49" s="3"/>
      <c r="T49" s="3"/>
      <c r="U49" s="3"/>
      <c r="V49" s="3"/>
    </row>
    <row r="50" spans="1:22" ht="16.350000000000001" customHeight="1">
      <c r="A50" s="5">
        <v>49</v>
      </c>
      <c r="B50" s="4" t="s">
        <v>578</v>
      </c>
      <c r="C50" s="12" t="s">
        <v>36</v>
      </c>
      <c r="D50" s="4" t="s">
        <v>77</v>
      </c>
      <c r="E50" s="22">
        <v>17520.462698895877</v>
      </c>
      <c r="F50" s="7" t="s">
        <v>44</v>
      </c>
      <c r="G50" s="7"/>
      <c r="Q50" s="3"/>
      <c r="R50" s="3"/>
      <c r="S50" s="3"/>
      <c r="T50" s="3"/>
      <c r="U50" s="3"/>
      <c r="V50" s="3"/>
    </row>
    <row r="51" spans="1:22" ht="16.350000000000001" customHeight="1">
      <c r="A51" s="5">
        <v>50</v>
      </c>
      <c r="B51" s="4" t="s">
        <v>579</v>
      </c>
      <c r="C51" s="12" t="s">
        <v>36</v>
      </c>
      <c r="D51" s="4" t="s">
        <v>79</v>
      </c>
      <c r="E51" s="22">
        <v>84372.60016707152</v>
      </c>
      <c r="F51" s="7" t="s">
        <v>44</v>
      </c>
      <c r="G51" s="7"/>
      <c r="Q51" s="3"/>
      <c r="R51" s="3"/>
      <c r="S51" s="3"/>
      <c r="T51" s="3"/>
      <c r="U51" s="3"/>
      <c r="V51" s="3"/>
    </row>
    <row r="52" spans="1:22" ht="16.350000000000001" customHeight="1">
      <c r="A52" s="5">
        <v>51</v>
      </c>
      <c r="B52" s="4" t="s">
        <v>580</v>
      </c>
      <c r="C52" s="12" t="s">
        <v>36</v>
      </c>
      <c r="D52" s="4" t="s">
        <v>80</v>
      </c>
      <c r="E52" s="22">
        <v>951.3</v>
      </c>
      <c r="F52" s="7" t="s">
        <v>44</v>
      </c>
      <c r="G52" s="7"/>
      <c r="Q52" s="3"/>
      <c r="R52" s="3"/>
      <c r="S52" s="3"/>
      <c r="T52" s="3"/>
      <c r="U52" s="3"/>
      <c r="V52" s="3"/>
    </row>
    <row r="53" spans="1:22" ht="16.350000000000001" customHeight="1">
      <c r="A53" s="5">
        <v>52</v>
      </c>
      <c r="B53" s="4" t="s">
        <v>581</v>
      </c>
      <c r="C53" s="12" t="s">
        <v>36</v>
      </c>
      <c r="D53" s="4" t="s">
        <v>81</v>
      </c>
      <c r="E53" s="22">
        <v>31693.992000000006</v>
      </c>
      <c r="F53" s="7" t="s">
        <v>44</v>
      </c>
      <c r="G53" s="7"/>
      <c r="Q53" s="3"/>
      <c r="R53" s="3"/>
      <c r="S53" s="3"/>
      <c r="T53" s="3"/>
      <c r="U53" s="3"/>
      <c r="V53" s="3"/>
    </row>
    <row r="54" spans="1:22" ht="16.350000000000001" customHeight="1">
      <c r="A54" s="5">
        <v>53</v>
      </c>
      <c r="B54" s="4" t="s">
        <v>295</v>
      </c>
      <c r="C54" s="12" t="s">
        <v>36</v>
      </c>
      <c r="D54" s="4" t="s">
        <v>53</v>
      </c>
      <c r="E54" s="22">
        <v>16525.939379084968</v>
      </c>
      <c r="F54" s="7" t="s">
        <v>44</v>
      </c>
      <c r="G54" s="7"/>
      <c r="Q54" s="3"/>
      <c r="R54" s="3"/>
      <c r="S54" s="3"/>
      <c r="T54" s="3"/>
      <c r="U54" s="3"/>
      <c r="V54" s="3"/>
    </row>
    <row r="55" spans="1:22" ht="16.350000000000001" customHeight="1">
      <c r="A55" s="5">
        <v>54</v>
      </c>
      <c r="B55" s="4" t="s">
        <v>594</v>
      </c>
      <c r="C55" s="12" t="s">
        <v>138</v>
      </c>
      <c r="D55" s="4" t="s">
        <v>20</v>
      </c>
      <c r="E55" s="22">
        <v>40.99</v>
      </c>
      <c r="F55" s="7" t="s">
        <v>32</v>
      </c>
      <c r="G55" s="7"/>
      <c r="Q55" s="3"/>
      <c r="R55" s="3"/>
      <c r="S55" s="3"/>
      <c r="T55" s="3"/>
      <c r="U55" s="3"/>
      <c r="V55" s="3"/>
    </row>
    <row r="56" spans="1:22" ht="16.350000000000001" customHeight="1">
      <c r="A56" s="5">
        <v>55</v>
      </c>
      <c r="B56" s="4" t="s">
        <v>301</v>
      </c>
      <c r="C56" s="12" t="s">
        <v>138</v>
      </c>
      <c r="D56" s="4" t="s">
        <v>20</v>
      </c>
      <c r="E56" s="22">
        <v>21.01</v>
      </c>
      <c r="F56" s="7" t="s">
        <v>32</v>
      </c>
      <c r="G56" s="7"/>
      <c r="Q56" s="3"/>
      <c r="R56" s="3"/>
      <c r="S56" s="3"/>
      <c r="T56" s="3"/>
      <c r="U56" s="3"/>
      <c r="V56" s="3"/>
    </row>
    <row r="57" spans="1:22">
      <c r="A57" s="5">
        <v>56</v>
      </c>
      <c r="B57" s="4" t="s">
        <v>303</v>
      </c>
      <c r="C57" s="12" t="s">
        <v>138</v>
      </c>
      <c r="D57" s="4" t="s">
        <v>20</v>
      </c>
      <c r="E57" s="22">
        <v>27.3</v>
      </c>
      <c r="F57" s="7" t="s">
        <v>32</v>
      </c>
      <c r="G57" s="7"/>
      <c r="Q57" s="3"/>
      <c r="R57" s="3"/>
      <c r="S57" s="3"/>
      <c r="T57" s="3"/>
      <c r="U57" s="3"/>
      <c r="V57" s="3"/>
    </row>
    <row r="58" spans="1:22">
      <c r="Q58" s="3"/>
      <c r="R58" s="3"/>
      <c r="S58" s="3"/>
      <c r="T58" s="3"/>
      <c r="U58" s="3"/>
      <c r="V58" s="3"/>
    </row>
    <row r="59" spans="1:22" hidden="1">
      <c r="Q59" s="3"/>
      <c r="R59" s="3"/>
      <c r="S59" s="3"/>
      <c r="T59" s="3"/>
      <c r="U59" s="3"/>
      <c r="V59" s="3"/>
    </row>
    <row r="60" spans="1:22" hidden="1">
      <c r="Q60" s="3"/>
      <c r="R60" s="3"/>
      <c r="S60" s="3"/>
      <c r="T60" s="3"/>
      <c r="U60" s="3"/>
      <c r="V60" s="3"/>
    </row>
    <row r="61" spans="1:22" hidden="1">
      <c r="Q61" s="3"/>
      <c r="R61" s="3"/>
      <c r="S61" s="3"/>
      <c r="T61" s="3"/>
      <c r="U61" s="3"/>
      <c r="V61" s="3"/>
    </row>
    <row r="62" spans="1:22" hidden="1">
      <c r="Q62" s="3"/>
      <c r="R62" s="3"/>
      <c r="S62" s="3"/>
      <c r="T62" s="3"/>
      <c r="U62" s="3"/>
      <c r="V62" s="3"/>
    </row>
    <row r="63" spans="1:22" hidden="1">
      <c r="Q63" s="3"/>
      <c r="R63" s="3"/>
      <c r="S63" s="3"/>
      <c r="T63" s="3"/>
      <c r="U63" s="3"/>
      <c r="V63" s="3"/>
    </row>
    <row r="64" spans="1:22" hidden="1">
      <c r="H64"/>
      <c r="I64"/>
      <c r="J64"/>
      <c r="K64"/>
      <c r="L64"/>
      <c r="M64"/>
    </row>
    <row r="65" spans="8:13" hidden="1">
      <c r="H65"/>
      <c r="I65"/>
      <c r="J65"/>
      <c r="K65"/>
      <c r="L65"/>
      <c r="M65"/>
    </row>
    <row r="66" spans="8:13" hidden="1">
      <c r="H66"/>
      <c r="I66"/>
      <c r="J66"/>
      <c r="K66"/>
      <c r="L66"/>
      <c r="M66"/>
    </row>
    <row r="67" spans="8:13" hidden="1">
      <c r="H67"/>
      <c r="I67"/>
      <c r="J67"/>
      <c r="K67"/>
      <c r="L67"/>
      <c r="M67"/>
    </row>
    <row r="68" spans="8:13" hidden="1">
      <c r="H68"/>
      <c r="I68"/>
      <c r="J68"/>
      <c r="K68"/>
      <c r="L68"/>
      <c r="M68"/>
    </row>
    <row r="69" spans="8:13" hidden="1">
      <c r="H69"/>
      <c r="I69"/>
      <c r="J69"/>
      <c r="K69"/>
      <c r="L69"/>
      <c r="M69"/>
    </row>
    <row r="70" spans="8:13" hidden="1">
      <c r="H70"/>
      <c r="I70"/>
      <c r="J70"/>
      <c r="K70"/>
      <c r="L70"/>
      <c r="M70"/>
    </row>
    <row r="71" spans="8:13" hidden="1">
      <c r="H71"/>
      <c r="I71"/>
      <c r="J71"/>
      <c r="K71"/>
      <c r="L71"/>
      <c r="M71"/>
    </row>
    <row r="72" spans="8:13" hidden="1">
      <c r="H72"/>
      <c r="I72"/>
      <c r="J72"/>
      <c r="K72"/>
      <c r="L72"/>
      <c r="M72"/>
    </row>
    <row r="73" spans="8:13" hidden="1">
      <c r="H73"/>
      <c r="I73"/>
      <c r="J73"/>
      <c r="K73"/>
      <c r="L73"/>
      <c r="M73"/>
    </row>
    <row r="74" spans="8:13" hidden="1">
      <c r="H74"/>
      <c r="I74"/>
      <c r="J74"/>
      <c r="K74"/>
      <c r="L74"/>
      <c r="M74"/>
    </row>
    <row r="75" spans="8:13" ht="38.25" hidden="1" customHeight="1">
      <c r="H75"/>
      <c r="I75"/>
      <c r="J75"/>
      <c r="K75"/>
      <c r="L75"/>
      <c r="M75"/>
    </row>
    <row r="76" spans="8:13" hidden="1">
      <c r="H76"/>
      <c r="I76"/>
      <c r="J76"/>
      <c r="K76"/>
      <c r="L76"/>
      <c r="M76"/>
    </row>
    <row r="77" spans="8:13" hidden="1">
      <c r="H77"/>
      <c r="I77"/>
      <c r="J77"/>
      <c r="K77"/>
      <c r="L77"/>
      <c r="M77"/>
    </row>
    <row r="78" spans="8:13" hidden="1">
      <c r="H78"/>
      <c r="I78"/>
      <c r="J78"/>
      <c r="K78"/>
      <c r="L78"/>
      <c r="M78"/>
    </row>
    <row r="79" spans="8:13" hidden="1">
      <c r="H79"/>
      <c r="I79"/>
      <c r="J79"/>
      <c r="K79"/>
      <c r="L79"/>
      <c r="M79"/>
    </row>
    <row r="80" spans="8:13" hidden="1">
      <c r="H80"/>
      <c r="I80"/>
      <c r="J80"/>
      <c r="K80"/>
      <c r="L80"/>
      <c r="M80"/>
    </row>
    <row r="81" spans="8:13" hidden="1">
      <c r="H81"/>
      <c r="I81"/>
      <c r="J81"/>
      <c r="K81"/>
      <c r="L81"/>
      <c r="M81"/>
    </row>
    <row r="82" spans="8:13" hidden="1">
      <c r="H82"/>
      <c r="I82"/>
      <c r="J82"/>
      <c r="K82"/>
      <c r="L82"/>
      <c r="M82"/>
    </row>
    <row r="83" spans="8:13" hidden="1">
      <c r="H83"/>
      <c r="I83"/>
      <c r="J83"/>
      <c r="K83"/>
      <c r="L83"/>
      <c r="M83"/>
    </row>
    <row r="84" spans="8:13" hidden="1">
      <c r="H84"/>
      <c r="I84"/>
      <c r="J84"/>
      <c r="K84"/>
      <c r="L84"/>
      <c r="M84"/>
    </row>
    <row r="85" spans="8:13" hidden="1">
      <c r="H85"/>
      <c r="I85"/>
      <c r="J85"/>
      <c r="K85"/>
      <c r="L85"/>
      <c r="M85"/>
    </row>
    <row r="86" spans="8:13" hidden="1">
      <c r="H86"/>
      <c r="I86"/>
      <c r="J86"/>
      <c r="K86"/>
      <c r="L86"/>
      <c r="M86"/>
    </row>
    <row r="87" spans="8:13" hidden="1">
      <c r="H87"/>
      <c r="I87"/>
      <c r="J87"/>
      <c r="K87"/>
      <c r="L87"/>
      <c r="M87"/>
    </row>
    <row r="88" spans="8:13" hidden="1">
      <c r="H88"/>
      <c r="I88"/>
      <c r="J88"/>
      <c r="K88"/>
      <c r="L88"/>
      <c r="M88"/>
    </row>
    <row r="89" spans="8:13" hidden="1">
      <c r="H89"/>
      <c r="I89"/>
      <c r="J89"/>
      <c r="K89"/>
      <c r="L89"/>
      <c r="M89"/>
    </row>
    <row r="90" spans="8:13" hidden="1">
      <c r="H90"/>
      <c r="I90"/>
      <c r="J90"/>
      <c r="K90"/>
      <c r="L90"/>
      <c r="M90"/>
    </row>
    <row r="91" spans="8:13" hidden="1">
      <c r="H91"/>
      <c r="I91"/>
      <c r="J91"/>
      <c r="K91"/>
      <c r="L91"/>
      <c r="M91"/>
    </row>
    <row r="92" spans="8:13" hidden="1">
      <c r="H92"/>
      <c r="I92"/>
      <c r="J92"/>
      <c r="K92"/>
      <c r="L92"/>
      <c r="M92"/>
    </row>
    <row r="93" spans="8:13" hidden="1">
      <c r="H93"/>
      <c r="I93"/>
      <c r="J93"/>
      <c r="K93"/>
      <c r="L93"/>
      <c r="M93"/>
    </row>
    <row r="94" spans="8:13" hidden="1">
      <c r="H94"/>
      <c r="I94"/>
      <c r="J94"/>
      <c r="K94"/>
      <c r="L94"/>
      <c r="M94"/>
    </row>
    <row r="95" spans="8:13" hidden="1">
      <c r="H95"/>
      <c r="I95"/>
      <c r="J95"/>
      <c r="K95"/>
      <c r="L95"/>
      <c r="M95"/>
    </row>
    <row r="96" spans="8:13" hidden="1">
      <c r="H96"/>
      <c r="I96"/>
      <c r="J96"/>
      <c r="K96"/>
      <c r="L96"/>
      <c r="M96"/>
    </row>
    <row r="97" spans="8:13" hidden="1">
      <c r="H97"/>
      <c r="I97"/>
      <c r="J97"/>
      <c r="K97"/>
      <c r="L97"/>
      <c r="M97"/>
    </row>
    <row r="98" spans="8:13" hidden="1">
      <c r="H98"/>
      <c r="I98"/>
      <c r="J98"/>
      <c r="K98"/>
      <c r="L98"/>
      <c r="M98"/>
    </row>
    <row r="99" spans="8:13" hidden="1">
      <c r="H99"/>
      <c r="I99"/>
      <c r="J99"/>
      <c r="K99"/>
      <c r="L99"/>
      <c r="M99"/>
    </row>
    <row r="100" spans="8:13" hidden="1">
      <c r="H100"/>
      <c r="I100"/>
      <c r="J100"/>
      <c r="K100"/>
      <c r="L100"/>
      <c r="M100"/>
    </row>
    <row r="101" spans="8:13" hidden="1">
      <c r="H101"/>
      <c r="I101"/>
      <c r="J101"/>
      <c r="K101"/>
      <c r="L101"/>
      <c r="M101"/>
    </row>
    <row r="102" spans="8:13" hidden="1">
      <c r="H102"/>
      <c r="I102"/>
      <c r="J102"/>
      <c r="K102"/>
      <c r="L102"/>
      <c r="M102"/>
    </row>
    <row r="103" spans="8:13" hidden="1">
      <c r="H103"/>
      <c r="I103"/>
      <c r="J103"/>
      <c r="K103"/>
      <c r="L103"/>
      <c r="M103"/>
    </row>
    <row r="104" spans="8:13" hidden="1">
      <c r="H104"/>
      <c r="I104"/>
      <c r="J104"/>
      <c r="K104"/>
      <c r="L104"/>
      <c r="M104"/>
    </row>
    <row r="105" spans="8:13" hidden="1">
      <c r="H105"/>
      <c r="I105"/>
      <c r="J105"/>
      <c r="K105"/>
      <c r="L105"/>
      <c r="M105"/>
    </row>
    <row r="106" spans="8:13" hidden="1">
      <c r="H106"/>
      <c r="I106"/>
      <c r="J106"/>
      <c r="K106"/>
      <c r="L106"/>
      <c r="M106"/>
    </row>
    <row r="107" spans="8:13" hidden="1">
      <c r="H107"/>
      <c r="I107"/>
      <c r="J107"/>
      <c r="K107"/>
      <c r="L107"/>
      <c r="M107"/>
    </row>
    <row r="108" spans="8:13" hidden="1">
      <c r="H108"/>
      <c r="I108"/>
      <c r="J108"/>
      <c r="K108"/>
      <c r="L108"/>
      <c r="M108"/>
    </row>
    <row r="109" spans="8:13" hidden="1">
      <c r="H109"/>
      <c r="I109"/>
      <c r="J109"/>
      <c r="K109"/>
      <c r="L109"/>
      <c r="M109"/>
    </row>
    <row r="110" spans="8:13" hidden="1">
      <c r="H110"/>
      <c r="I110"/>
      <c r="J110"/>
      <c r="K110"/>
      <c r="L110"/>
      <c r="M110"/>
    </row>
    <row r="111" spans="8:13" hidden="1">
      <c r="H111"/>
      <c r="I111"/>
      <c r="J111"/>
      <c r="K111"/>
      <c r="L111"/>
      <c r="M111"/>
    </row>
    <row r="112" spans="8:13" hidden="1">
      <c r="H112"/>
      <c r="I112"/>
      <c r="J112"/>
      <c r="K112"/>
      <c r="L112"/>
      <c r="M112"/>
    </row>
    <row r="113" spans="8:13" hidden="1">
      <c r="H113"/>
      <c r="I113"/>
      <c r="J113"/>
      <c r="K113"/>
      <c r="L113"/>
      <c r="M113"/>
    </row>
    <row r="114" spans="8:13" hidden="1">
      <c r="H114"/>
      <c r="I114"/>
      <c r="J114"/>
      <c r="K114"/>
      <c r="L114"/>
      <c r="M114"/>
    </row>
    <row r="115" spans="8:13" hidden="1">
      <c r="H115"/>
      <c r="I115"/>
      <c r="J115"/>
      <c r="K115"/>
      <c r="L115"/>
      <c r="M115"/>
    </row>
    <row r="116" spans="8:13" hidden="1">
      <c r="H116"/>
      <c r="I116"/>
      <c r="J116"/>
      <c r="K116"/>
      <c r="L116"/>
      <c r="M116"/>
    </row>
    <row r="117" spans="8:13" hidden="1">
      <c r="H117"/>
      <c r="I117"/>
      <c r="J117"/>
      <c r="K117"/>
      <c r="L117"/>
      <c r="M117"/>
    </row>
    <row r="118" spans="8:13" hidden="1">
      <c r="H118"/>
      <c r="I118"/>
      <c r="J118"/>
      <c r="K118"/>
      <c r="L118"/>
      <c r="M118"/>
    </row>
    <row r="119" spans="8:13" hidden="1">
      <c r="H119"/>
      <c r="I119"/>
      <c r="J119"/>
      <c r="K119"/>
      <c r="L119"/>
      <c r="M119"/>
    </row>
    <row r="120" spans="8:13" hidden="1">
      <c r="H120"/>
      <c r="I120"/>
      <c r="J120"/>
      <c r="K120"/>
      <c r="L120"/>
      <c r="M120"/>
    </row>
    <row r="121" spans="8:13" hidden="1">
      <c r="H121"/>
      <c r="I121"/>
      <c r="J121"/>
      <c r="K121"/>
      <c r="L121"/>
      <c r="M121"/>
    </row>
    <row r="122" spans="8:13" hidden="1">
      <c r="H122"/>
      <c r="I122"/>
      <c r="J122"/>
      <c r="K122"/>
      <c r="L122"/>
      <c r="M122"/>
    </row>
    <row r="123" spans="8:13" hidden="1">
      <c r="H123"/>
      <c r="I123"/>
      <c r="J123"/>
      <c r="K123"/>
      <c r="L123"/>
      <c r="M123"/>
    </row>
    <row r="124" spans="8:13" hidden="1">
      <c r="H124"/>
      <c r="I124"/>
      <c r="J124"/>
      <c r="K124"/>
      <c r="L124"/>
      <c r="M124"/>
    </row>
    <row r="125" spans="8:13" hidden="1">
      <c r="H125"/>
      <c r="I125"/>
      <c r="J125"/>
      <c r="K125"/>
      <c r="L125"/>
      <c r="M125"/>
    </row>
    <row r="126" spans="8:13" hidden="1">
      <c r="H126"/>
      <c r="I126"/>
      <c r="J126"/>
      <c r="K126"/>
      <c r="L126"/>
      <c r="M126"/>
    </row>
    <row r="127" spans="8:13" hidden="1">
      <c r="H127"/>
      <c r="I127"/>
      <c r="J127"/>
      <c r="K127"/>
      <c r="L127"/>
      <c r="M127"/>
    </row>
    <row r="128" spans="8:13" hidden="1">
      <c r="H128"/>
      <c r="I128"/>
      <c r="J128"/>
      <c r="K128"/>
      <c r="L128"/>
      <c r="M128"/>
    </row>
    <row r="129" spans="8:13" hidden="1">
      <c r="H129"/>
      <c r="I129"/>
      <c r="J129"/>
      <c r="K129"/>
      <c r="L129"/>
      <c r="M129"/>
    </row>
    <row r="130" spans="8:13" hidden="1">
      <c r="H130"/>
      <c r="I130"/>
      <c r="J130"/>
      <c r="K130"/>
      <c r="L130"/>
      <c r="M130"/>
    </row>
    <row r="131" spans="8:13" hidden="1">
      <c r="H131"/>
      <c r="I131"/>
      <c r="J131"/>
      <c r="K131"/>
      <c r="L131"/>
      <c r="M131"/>
    </row>
    <row r="132" spans="8:13" hidden="1">
      <c r="H132"/>
      <c r="I132"/>
      <c r="J132"/>
      <c r="K132"/>
      <c r="L132"/>
      <c r="M132"/>
    </row>
    <row r="133" spans="8:13" hidden="1">
      <c r="H133"/>
      <c r="I133"/>
      <c r="J133"/>
      <c r="K133"/>
      <c r="L133"/>
      <c r="M133"/>
    </row>
    <row r="134" spans="8:13" hidden="1">
      <c r="H134"/>
      <c r="I134"/>
      <c r="J134"/>
      <c r="K134"/>
      <c r="L134"/>
      <c r="M134"/>
    </row>
    <row r="135" spans="8:13" hidden="1">
      <c r="H135"/>
      <c r="I135"/>
      <c r="J135"/>
      <c r="K135"/>
      <c r="L135"/>
      <c r="M135"/>
    </row>
    <row r="136" spans="8:13" hidden="1">
      <c r="H136"/>
      <c r="I136"/>
      <c r="J136"/>
      <c r="K136"/>
      <c r="L136"/>
      <c r="M136"/>
    </row>
    <row r="137" spans="8:13" hidden="1">
      <c r="H137"/>
      <c r="I137"/>
      <c r="J137"/>
      <c r="K137"/>
      <c r="L137"/>
      <c r="M137"/>
    </row>
    <row r="138" spans="8:13" hidden="1">
      <c r="H138"/>
      <c r="I138"/>
      <c r="J138"/>
      <c r="K138"/>
      <c r="L138"/>
      <c r="M138"/>
    </row>
    <row r="139" spans="8:13" hidden="1">
      <c r="H139"/>
      <c r="I139"/>
      <c r="J139"/>
      <c r="K139"/>
      <c r="L139"/>
      <c r="M139"/>
    </row>
    <row r="140" spans="8:13" hidden="1">
      <c r="H140"/>
      <c r="I140"/>
      <c r="J140"/>
      <c r="K140"/>
      <c r="L140"/>
      <c r="M140"/>
    </row>
    <row r="141" spans="8:13" hidden="1">
      <c r="H141"/>
      <c r="I141"/>
      <c r="J141"/>
      <c r="K141"/>
      <c r="L141"/>
      <c r="M141"/>
    </row>
    <row r="142" spans="8:13" hidden="1">
      <c r="H142"/>
      <c r="I142"/>
      <c r="J142"/>
      <c r="K142"/>
      <c r="L142"/>
      <c r="M142"/>
    </row>
    <row r="143" spans="8:13" hidden="1">
      <c r="H143"/>
      <c r="I143"/>
      <c r="J143"/>
      <c r="K143"/>
      <c r="L143"/>
      <c r="M143"/>
    </row>
    <row r="144" spans="8:13" hidden="1">
      <c r="H144"/>
      <c r="I144"/>
      <c r="J144"/>
      <c r="K144"/>
      <c r="L144"/>
      <c r="M144"/>
    </row>
    <row r="145" spans="8:13" hidden="1">
      <c r="H145"/>
      <c r="I145"/>
      <c r="J145"/>
      <c r="K145"/>
      <c r="L145"/>
      <c r="M145"/>
    </row>
    <row r="146" spans="8:13" hidden="1">
      <c r="H146"/>
      <c r="I146"/>
      <c r="J146"/>
      <c r="K146"/>
      <c r="L146"/>
      <c r="M146"/>
    </row>
    <row r="147" spans="8:13" hidden="1">
      <c r="H147"/>
      <c r="I147"/>
      <c r="J147"/>
      <c r="K147"/>
      <c r="L147"/>
      <c r="M147"/>
    </row>
    <row r="148" spans="8:13" hidden="1">
      <c r="H148"/>
      <c r="I148"/>
      <c r="J148"/>
      <c r="K148"/>
      <c r="L148"/>
      <c r="M148"/>
    </row>
    <row r="149" spans="8:13" hidden="1">
      <c r="H149"/>
      <c r="I149"/>
      <c r="J149"/>
      <c r="K149"/>
      <c r="L149"/>
      <c r="M149"/>
    </row>
    <row r="150" spans="8:13" hidden="1">
      <c r="H150"/>
      <c r="I150"/>
      <c r="J150"/>
      <c r="K150"/>
      <c r="L150"/>
      <c r="M150"/>
    </row>
    <row r="151" spans="8:13" hidden="1">
      <c r="H151"/>
      <c r="I151"/>
      <c r="J151"/>
      <c r="K151"/>
      <c r="L151"/>
      <c r="M151"/>
    </row>
    <row r="152" spans="8:13" hidden="1">
      <c r="H152"/>
      <c r="I152"/>
      <c r="J152"/>
      <c r="K152"/>
      <c r="L152"/>
      <c r="M152"/>
    </row>
    <row r="153" spans="8:13" hidden="1">
      <c r="H153"/>
      <c r="I153"/>
      <c r="J153"/>
      <c r="K153"/>
      <c r="L153"/>
      <c r="M153"/>
    </row>
    <row r="154" spans="8:13" hidden="1">
      <c r="H154"/>
      <c r="I154"/>
      <c r="J154"/>
      <c r="K154"/>
      <c r="L154"/>
      <c r="M154"/>
    </row>
    <row r="155" spans="8:13" hidden="1">
      <c r="H155"/>
      <c r="I155"/>
      <c r="J155"/>
      <c r="K155"/>
      <c r="L155"/>
      <c r="M155"/>
    </row>
    <row r="156" spans="8:13" hidden="1">
      <c r="H156"/>
      <c r="I156"/>
      <c r="J156"/>
      <c r="K156"/>
      <c r="L156"/>
      <c r="M156"/>
    </row>
    <row r="157" spans="8:13" hidden="1">
      <c r="H157"/>
      <c r="I157"/>
      <c r="J157"/>
      <c r="K157"/>
      <c r="L157"/>
      <c r="M157"/>
    </row>
    <row r="158" spans="8:13" hidden="1">
      <c r="H158"/>
      <c r="I158"/>
      <c r="J158"/>
      <c r="K158"/>
      <c r="L158"/>
      <c r="M158"/>
    </row>
    <row r="159" spans="8:13" hidden="1">
      <c r="H159"/>
      <c r="I159"/>
      <c r="J159"/>
      <c r="K159"/>
      <c r="L159"/>
      <c r="M159"/>
    </row>
    <row r="160" spans="8:13" hidden="1">
      <c r="H160"/>
      <c r="I160"/>
      <c r="J160"/>
      <c r="K160"/>
      <c r="L160"/>
      <c r="M160"/>
    </row>
    <row r="161" spans="1:13" hidden="1">
      <c r="H161"/>
      <c r="I161"/>
      <c r="J161"/>
      <c r="K161"/>
      <c r="L161"/>
      <c r="M161"/>
    </row>
    <row r="162" spans="1:13" hidden="1">
      <c r="H162"/>
      <c r="I162"/>
      <c r="J162"/>
      <c r="K162"/>
      <c r="L162"/>
      <c r="M162"/>
    </row>
    <row r="163" spans="1:13" hidden="1">
      <c r="H163"/>
      <c r="I163"/>
      <c r="J163"/>
      <c r="K163"/>
      <c r="L163"/>
      <c r="M163"/>
    </row>
    <row r="164" spans="1:13" hidden="1">
      <c r="H164"/>
      <c r="I164"/>
      <c r="J164"/>
      <c r="K164"/>
      <c r="L164"/>
      <c r="M164"/>
    </row>
    <row r="165" spans="1:13" hidden="1">
      <c r="H165"/>
      <c r="I165"/>
      <c r="J165"/>
      <c r="K165"/>
      <c r="L165"/>
      <c r="M165"/>
    </row>
    <row r="166" spans="1:13" hidden="1">
      <c r="H166"/>
      <c r="I166"/>
      <c r="J166"/>
      <c r="K166"/>
      <c r="L166"/>
      <c r="M166"/>
    </row>
    <row r="167" spans="1:13" hidden="1">
      <c r="H167"/>
      <c r="I167"/>
      <c r="J167"/>
      <c r="K167"/>
      <c r="L167"/>
      <c r="M167"/>
    </row>
    <row r="168" spans="1:13" hidden="1">
      <c r="H168"/>
      <c r="I168"/>
      <c r="J168"/>
      <c r="K168"/>
      <c r="L168"/>
      <c r="M168"/>
    </row>
    <row r="169" spans="1:13" hidden="1">
      <c r="H169"/>
      <c r="I169"/>
      <c r="J169"/>
      <c r="K169"/>
      <c r="L169"/>
      <c r="M169"/>
    </row>
    <row r="170" spans="1:13" hidden="1">
      <c r="H170"/>
      <c r="I170"/>
      <c r="J170"/>
      <c r="K170"/>
      <c r="L170"/>
      <c r="M170"/>
    </row>
    <row r="171" spans="1:13" hidden="1">
      <c r="A171"/>
      <c r="B171"/>
      <c r="C171"/>
      <c r="D171"/>
      <c r="F171"/>
      <c r="G171"/>
      <c r="H171"/>
      <c r="I171"/>
      <c r="J171"/>
      <c r="K171"/>
      <c r="L171"/>
      <c r="M171"/>
    </row>
    <row r="172" spans="1:13" hidden="1">
      <c r="A172"/>
      <c r="B172"/>
      <c r="C172"/>
      <c r="D172"/>
      <c r="F172"/>
      <c r="G172"/>
      <c r="H172"/>
      <c r="I172"/>
      <c r="J172"/>
      <c r="K172"/>
      <c r="L172"/>
      <c r="M172"/>
    </row>
    <row r="173" spans="1:13" hidden="1">
      <c r="A173"/>
      <c r="B173"/>
      <c r="C173"/>
      <c r="D173"/>
      <c r="F173"/>
      <c r="G173"/>
      <c r="H173"/>
      <c r="I173"/>
      <c r="J173"/>
      <c r="K173"/>
      <c r="L173"/>
      <c r="M173"/>
    </row>
    <row r="174" spans="1:13" hidden="1">
      <c r="A174"/>
      <c r="B174"/>
      <c r="C174"/>
      <c r="D174"/>
      <c r="F174"/>
      <c r="G174"/>
      <c r="H174"/>
      <c r="I174"/>
      <c r="J174"/>
      <c r="K174"/>
      <c r="L174"/>
      <c r="M174"/>
    </row>
    <row r="175" spans="1:13" hidden="1">
      <c r="A175"/>
      <c r="B175"/>
      <c r="C175"/>
      <c r="D175"/>
      <c r="F175"/>
      <c r="G175"/>
      <c r="H175"/>
      <c r="I175"/>
      <c r="J175"/>
      <c r="K175"/>
      <c r="L175"/>
      <c r="M175"/>
    </row>
    <row r="176" spans="1:13" hidden="1">
      <c r="A176"/>
      <c r="B176"/>
      <c r="C176"/>
      <c r="D176"/>
      <c r="F176"/>
      <c r="G176"/>
      <c r="H176"/>
      <c r="I176"/>
      <c r="J176"/>
      <c r="K176"/>
      <c r="L176"/>
      <c r="M176"/>
    </row>
    <row r="177" spans="1:13" hidden="1">
      <c r="A177"/>
      <c r="B177"/>
      <c r="C177"/>
      <c r="D177"/>
      <c r="F177"/>
      <c r="G177"/>
      <c r="H177"/>
      <c r="I177"/>
      <c r="J177"/>
      <c r="K177"/>
      <c r="L177"/>
      <c r="M177"/>
    </row>
    <row r="178" spans="1:13" hidden="1">
      <c r="A178"/>
      <c r="B178"/>
      <c r="C178"/>
      <c r="D178"/>
      <c r="F178"/>
      <c r="G178"/>
      <c r="H178"/>
      <c r="I178"/>
      <c r="J178"/>
      <c r="K178"/>
      <c r="L178"/>
      <c r="M178"/>
    </row>
    <row r="179" spans="1:13" hidden="1">
      <c r="A179"/>
      <c r="B179"/>
      <c r="C179"/>
      <c r="D179"/>
      <c r="F179"/>
      <c r="G179"/>
      <c r="H179"/>
      <c r="I179"/>
      <c r="J179"/>
      <c r="K179"/>
      <c r="L179"/>
      <c r="M179"/>
    </row>
    <row r="180" spans="1:13" hidden="1">
      <c r="A180"/>
      <c r="B180"/>
      <c r="C180"/>
      <c r="D180"/>
      <c r="F180"/>
      <c r="G180"/>
      <c r="H180"/>
      <c r="I180"/>
      <c r="J180"/>
      <c r="K180"/>
      <c r="L180"/>
      <c r="M180"/>
    </row>
    <row r="181" spans="1:13" hidden="1">
      <c r="A181"/>
      <c r="B181"/>
      <c r="C181"/>
      <c r="D181"/>
      <c r="F181"/>
      <c r="G181"/>
      <c r="H181"/>
      <c r="I181"/>
      <c r="J181"/>
      <c r="K181"/>
      <c r="L181"/>
      <c r="M181"/>
    </row>
    <row r="182" spans="1:13" hidden="1">
      <c r="A182"/>
      <c r="B182"/>
      <c r="C182"/>
      <c r="D182"/>
      <c r="F182"/>
      <c r="G182"/>
      <c r="H182"/>
      <c r="I182"/>
      <c r="J182"/>
      <c r="K182"/>
      <c r="L182"/>
      <c r="M182"/>
    </row>
    <row r="183" spans="1:13" hidden="1">
      <c r="A183"/>
      <c r="B183"/>
      <c r="C183"/>
      <c r="D183"/>
      <c r="F183"/>
      <c r="G183"/>
      <c r="H183"/>
      <c r="I183"/>
      <c r="J183"/>
      <c r="K183"/>
      <c r="L183"/>
      <c r="M183"/>
    </row>
    <row r="184" spans="1:13" hidden="1">
      <c r="A184"/>
      <c r="B184"/>
      <c r="C184"/>
      <c r="D184"/>
      <c r="F184"/>
      <c r="G184"/>
      <c r="H184"/>
      <c r="I184"/>
      <c r="J184"/>
      <c r="K184"/>
      <c r="L184"/>
      <c r="M184"/>
    </row>
    <row r="185" spans="1:13" hidden="1">
      <c r="A185"/>
      <c r="B185"/>
      <c r="C185"/>
      <c r="D185"/>
      <c r="F185"/>
      <c r="G185"/>
      <c r="H185"/>
      <c r="I185"/>
      <c r="J185"/>
      <c r="K185"/>
      <c r="L185"/>
      <c r="M185"/>
    </row>
    <row r="186" spans="1:13" hidden="1">
      <c r="A186"/>
      <c r="B186"/>
      <c r="C186"/>
      <c r="D186"/>
      <c r="F186"/>
      <c r="G186"/>
      <c r="H186"/>
      <c r="I186"/>
      <c r="J186"/>
      <c r="K186"/>
      <c r="L186"/>
      <c r="M186"/>
    </row>
    <row r="187" spans="1:13" hidden="1">
      <c r="A187"/>
      <c r="B187"/>
      <c r="C187"/>
      <c r="D187"/>
      <c r="F187"/>
      <c r="G187"/>
      <c r="H187"/>
      <c r="I187"/>
      <c r="J187"/>
      <c r="K187"/>
      <c r="L187"/>
      <c r="M187"/>
    </row>
    <row r="188" spans="1:13" hidden="1">
      <c r="A188"/>
      <c r="B188"/>
      <c r="C188"/>
      <c r="D188"/>
      <c r="F188"/>
      <c r="G188"/>
      <c r="H188"/>
      <c r="I188"/>
      <c r="J188"/>
      <c r="K188"/>
      <c r="L188"/>
      <c r="M188"/>
    </row>
    <row r="189" spans="1:13" hidden="1">
      <c r="A189"/>
      <c r="B189"/>
      <c r="C189"/>
      <c r="D189"/>
      <c r="F189"/>
      <c r="G189"/>
      <c r="H189"/>
      <c r="I189"/>
      <c r="J189"/>
      <c r="K189"/>
      <c r="L189"/>
      <c r="M189"/>
    </row>
    <row r="190" spans="1:13" hidden="1">
      <c r="A190"/>
      <c r="B190"/>
      <c r="C190"/>
      <c r="D190"/>
      <c r="F190"/>
      <c r="G190"/>
      <c r="H190"/>
      <c r="I190"/>
      <c r="J190"/>
      <c r="K190"/>
      <c r="L190"/>
      <c r="M190"/>
    </row>
    <row r="191" spans="1:13" hidden="1">
      <c r="A191"/>
      <c r="B191"/>
      <c r="C191"/>
      <c r="D191"/>
      <c r="F191"/>
      <c r="G191"/>
      <c r="H191"/>
      <c r="I191"/>
      <c r="J191"/>
      <c r="K191"/>
      <c r="L191"/>
      <c r="M191"/>
    </row>
    <row r="192" spans="1:13" hidden="1">
      <c r="A192"/>
      <c r="B192"/>
      <c r="C192"/>
      <c r="D192"/>
      <c r="F192"/>
      <c r="G192"/>
      <c r="H192"/>
      <c r="I192"/>
      <c r="J192"/>
      <c r="K192"/>
      <c r="L192"/>
      <c r="M192"/>
    </row>
    <row r="193" spans="1:13" hidden="1">
      <c r="A193"/>
      <c r="B193"/>
      <c r="C193"/>
      <c r="D193"/>
      <c r="F193"/>
      <c r="G193"/>
      <c r="H193"/>
      <c r="I193"/>
      <c r="J193"/>
      <c r="K193"/>
      <c r="L193"/>
      <c r="M193"/>
    </row>
    <row r="194" spans="1:13" hidden="1">
      <c r="A194"/>
      <c r="B194"/>
      <c r="C194"/>
      <c r="D194"/>
      <c r="F194"/>
      <c r="G194"/>
      <c r="H194"/>
      <c r="I194"/>
      <c r="J194"/>
      <c r="K194"/>
      <c r="L194"/>
      <c r="M194"/>
    </row>
    <row r="195" spans="1:13" hidden="1">
      <c r="A195"/>
      <c r="B195"/>
      <c r="C195"/>
      <c r="D195"/>
      <c r="F195"/>
      <c r="G195"/>
      <c r="H195"/>
      <c r="I195"/>
      <c r="J195"/>
      <c r="K195"/>
      <c r="L195"/>
      <c r="M195"/>
    </row>
    <row r="196" spans="1:13" hidden="1">
      <c r="A196"/>
      <c r="B196"/>
      <c r="C196"/>
      <c r="D196"/>
      <c r="F196"/>
      <c r="G196"/>
      <c r="H196"/>
      <c r="I196"/>
      <c r="J196"/>
      <c r="K196"/>
      <c r="L196"/>
      <c r="M196"/>
    </row>
    <row r="197" spans="1:13" hidden="1">
      <c r="A197"/>
      <c r="B197"/>
      <c r="C197"/>
      <c r="D197"/>
      <c r="F197"/>
      <c r="G197"/>
      <c r="H197"/>
      <c r="I197"/>
      <c r="J197"/>
      <c r="K197"/>
      <c r="L197"/>
      <c r="M197"/>
    </row>
    <row r="198" spans="1:13" hidden="1">
      <c r="A198"/>
      <c r="B198"/>
      <c r="C198"/>
      <c r="D198"/>
      <c r="F198"/>
      <c r="G198"/>
      <c r="H198"/>
      <c r="I198"/>
      <c r="J198"/>
      <c r="K198"/>
      <c r="L198"/>
      <c r="M198"/>
    </row>
    <row r="199" spans="1:13" hidden="1">
      <c r="A199"/>
      <c r="B199"/>
      <c r="C199"/>
      <c r="D199"/>
      <c r="F199"/>
      <c r="G199"/>
      <c r="H199"/>
      <c r="I199"/>
      <c r="J199"/>
      <c r="K199"/>
      <c r="L199"/>
      <c r="M199"/>
    </row>
    <row r="200" spans="1:13" hidden="1">
      <c r="A200"/>
      <c r="B200"/>
      <c r="C200"/>
      <c r="D200"/>
      <c r="F200"/>
      <c r="G200"/>
      <c r="H200"/>
      <c r="I200"/>
      <c r="J200"/>
      <c r="K200"/>
      <c r="L200"/>
      <c r="M200"/>
    </row>
    <row r="201" spans="1:13" hidden="1">
      <c r="A201"/>
      <c r="B201"/>
      <c r="C201"/>
      <c r="D201"/>
      <c r="F201"/>
      <c r="G201"/>
      <c r="H201"/>
      <c r="I201"/>
      <c r="J201"/>
      <c r="K201"/>
      <c r="L201"/>
      <c r="M201"/>
    </row>
    <row r="202" spans="1:13" hidden="1">
      <c r="A202"/>
      <c r="B202"/>
      <c r="C202"/>
      <c r="D202"/>
      <c r="F202"/>
      <c r="G202"/>
      <c r="H202"/>
      <c r="I202"/>
      <c r="J202"/>
      <c r="K202"/>
      <c r="L202"/>
      <c r="M202"/>
    </row>
    <row r="203" spans="1:13" hidden="1">
      <c r="A203"/>
      <c r="B203"/>
      <c r="C203"/>
      <c r="D203"/>
      <c r="F203"/>
      <c r="G203"/>
      <c r="H203"/>
      <c r="I203"/>
      <c r="J203"/>
      <c r="K203"/>
      <c r="L203"/>
      <c r="M203"/>
    </row>
    <row r="204" spans="1:13" hidden="1">
      <c r="A204"/>
      <c r="B204"/>
      <c r="C204"/>
      <c r="D204"/>
      <c r="F204"/>
      <c r="G204"/>
      <c r="H204"/>
      <c r="I204"/>
      <c r="J204"/>
      <c r="K204"/>
      <c r="L204"/>
      <c r="M204"/>
    </row>
    <row r="205" spans="1:13" hidden="1">
      <c r="A205"/>
      <c r="B205"/>
      <c r="C205"/>
      <c r="D205"/>
      <c r="F205"/>
      <c r="G205"/>
      <c r="H205"/>
      <c r="I205"/>
      <c r="J205"/>
      <c r="K205"/>
      <c r="L205"/>
      <c r="M205"/>
    </row>
    <row r="206" spans="1:13" hidden="1">
      <c r="A206"/>
      <c r="B206"/>
      <c r="C206"/>
      <c r="D206"/>
      <c r="F206"/>
      <c r="G206"/>
      <c r="H206"/>
      <c r="I206"/>
      <c r="J206"/>
      <c r="K206"/>
      <c r="L206"/>
      <c r="M206"/>
    </row>
    <row r="207" spans="1:13" hidden="1">
      <c r="A207"/>
      <c r="B207"/>
      <c r="C207"/>
      <c r="D207"/>
      <c r="F207"/>
      <c r="G207"/>
      <c r="H207"/>
      <c r="I207"/>
      <c r="J207"/>
      <c r="K207"/>
      <c r="L207"/>
      <c r="M207"/>
    </row>
    <row r="208" spans="1:13" hidden="1">
      <c r="A208"/>
      <c r="B208"/>
      <c r="C208"/>
      <c r="D208"/>
      <c r="F208"/>
      <c r="G208"/>
      <c r="H208"/>
      <c r="I208"/>
      <c r="J208"/>
      <c r="K208"/>
      <c r="L208"/>
      <c r="M208"/>
    </row>
    <row r="209" spans="1:13" hidden="1">
      <c r="A209"/>
      <c r="B209"/>
      <c r="C209"/>
      <c r="D209"/>
      <c r="F209"/>
      <c r="G209"/>
      <c r="H209"/>
      <c r="I209"/>
      <c r="J209"/>
      <c r="K209"/>
      <c r="L209"/>
      <c r="M209"/>
    </row>
    <row r="210" spans="1:13" hidden="1">
      <c r="A210"/>
      <c r="B210"/>
      <c r="C210"/>
      <c r="D210"/>
      <c r="F210"/>
      <c r="G210"/>
      <c r="H210"/>
      <c r="I210"/>
      <c r="J210"/>
      <c r="K210"/>
      <c r="L210"/>
      <c r="M210"/>
    </row>
    <row r="211" spans="1:13" hidden="1">
      <c r="A211"/>
      <c r="B211"/>
      <c r="C211"/>
      <c r="D211"/>
      <c r="F211"/>
      <c r="G211"/>
      <c r="H211"/>
      <c r="I211"/>
      <c r="J211"/>
      <c r="K211"/>
      <c r="L211"/>
      <c r="M211"/>
    </row>
    <row r="212" spans="1:13" hidden="1">
      <c r="A212"/>
      <c r="B212"/>
      <c r="C212"/>
      <c r="D212"/>
      <c r="F212"/>
      <c r="G212"/>
      <c r="H212"/>
      <c r="I212"/>
      <c r="J212"/>
      <c r="K212"/>
      <c r="L212"/>
      <c r="M212"/>
    </row>
    <row r="213" spans="1:13" hidden="1">
      <c r="A213"/>
      <c r="B213"/>
      <c r="C213"/>
      <c r="D213"/>
      <c r="F213"/>
      <c r="G213"/>
      <c r="H213"/>
      <c r="I213"/>
      <c r="J213"/>
      <c r="K213"/>
      <c r="L213"/>
      <c r="M213"/>
    </row>
    <row r="214" spans="1:13" hidden="1">
      <c r="A214"/>
      <c r="B214"/>
      <c r="C214"/>
      <c r="D214"/>
      <c r="F214"/>
      <c r="G214"/>
      <c r="H214"/>
      <c r="I214"/>
      <c r="J214"/>
      <c r="K214"/>
      <c r="L214"/>
      <c r="M214"/>
    </row>
    <row r="215" spans="1:13" hidden="1">
      <c r="A215"/>
      <c r="B215"/>
      <c r="C215"/>
      <c r="D215"/>
      <c r="F215"/>
      <c r="G215"/>
      <c r="H215"/>
      <c r="I215"/>
      <c r="J215"/>
      <c r="K215"/>
      <c r="L215"/>
      <c r="M215"/>
    </row>
    <row r="216" spans="1:13" hidden="1">
      <c r="A216"/>
      <c r="B216"/>
      <c r="C216"/>
      <c r="D216"/>
      <c r="F216"/>
      <c r="G216"/>
      <c r="H216"/>
      <c r="I216"/>
      <c r="J216"/>
      <c r="K216"/>
      <c r="L216"/>
      <c r="M216"/>
    </row>
    <row r="217" spans="1:13" hidden="1">
      <c r="A217"/>
      <c r="B217"/>
      <c r="C217"/>
      <c r="D217"/>
      <c r="F217"/>
      <c r="G217"/>
      <c r="H217"/>
      <c r="I217"/>
      <c r="J217"/>
      <c r="K217"/>
      <c r="L217"/>
      <c r="M217"/>
    </row>
    <row r="218" spans="1:13" hidden="1">
      <c r="A218"/>
      <c r="B218"/>
      <c r="C218"/>
      <c r="D218"/>
      <c r="F218"/>
      <c r="G218"/>
      <c r="H218"/>
      <c r="I218"/>
      <c r="J218"/>
      <c r="K218"/>
      <c r="L218"/>
      <c r="M218"/>
    </row>
    <row r="219" spans="1:13" hidden="1">
      <c r="A219"/>
      <c r="B219"/>
      <c r="C219"/>
      <c r="D219"/>
      <c r="F219"/>
      <c r="G219"/>
      <c r="H219"/>
      <c r="I219"/>
      <c r="J219"/>
      <c r="K219"/>
      <c r="L219"/>
      <c r="M219"/>
    </row>
    <row r="220" spans="1:13" hidden="1">
      <c r="A220"/>
      <c r="B220"/>
      <c r="C220"/>
      <c r="D220"/>
      <c r="F220"/>
      <c r="G220"/>
      <c r="H220"/>
      <c r="I220"/>
      <c r="J220"/>
      <c r="K220"/>
      <c r="L220"/>
      <c r="M220"/>
    </row>
    <row r="221" spans="1:13" hidden="1">
      <c r="A221"/>
      <c r="B221"/>
      <c r="C221"/>
      <c r="D221"/>
      <c r="F221"/>
      <c r="G221"/>
      <c r="H221"/>
      <c r="I221"/>
      <c r="J221"/>
      <c r="K221"/>
      <c r="L221"/>
      <c r="M221"/>
    </row>
    <row r="222" spans="1:13" hidden="1">
      <c r="A222"/>
      <c r="B222"/>
      <c r="C222"/>
      <c r="D222"/>
      <c r="F222"/>
      <c r="G222"/>
      <c r="H222"/>
      <c r="I222"/>
      <c r="J222"/>
      <c r="K222"/>
      <c r="L222"/>
      <c r="M222"/>
    </row>
    <row r="223" spans="1:13" hidden="1">
      <c r="A223"/>
      <c r="B223"/>
      <c r="C223"/>
      <c r="D223"/>
      <c r="F223"/>
      <c r="G223"/>
      <c r="H223"/>
      <c r="I223"/>
      <c r="J223"/>
      <c r="K223"/>
      <c r="L223"/>
      <c r="M223"/>
    </row>
    <row r="224" spans="1:13" hidden="1">
      <c r="A224"/>
      <c r="B224"/>
      <c r="C224"/>
      <c r="D224"/>
      <c r="F224"/>
      <c r="G224"/>
      <c r="H224"/>
      <c r="I224"/>
      <c r="J224"/>
      <c r="K224"/>
      <c r="L224"/>
      <c r="M224"/>
    </row>
    <row r="225" spans="1:13" hidden="1">
      <c r="A225"/>
      <c r="B225"/>
      <c r="C225"/>
      <c r="D225"/>
      <c r="F225"/>
      <c r="G225"/>
      <c r="H225"/>
      <c r="I225"/>
      <c r="J225"/>
      <c r="K225"/>
      <c r="L225"/>
      <c r="M225"/>
    </row>
    <row r="226" spans="1:13" hidden="1">
      <c r="A226"/>
      <c r="B226"/>
      <c r="C226"/>
      <c r="D226"/>
      <c r="F226"/>
      <c r="G226"/>
      <c r="H226"/>
      <c r="I226"/>
      <c r="J226"/>
      <c r="K226"/>
      <c r="L226"/>
      <c r="M226"/>
    </row>
    <row r="227" spans="1:13" hidden="1">
      <c r="A227"/>
      <c r="B227"/>
      <c r="C227"/>
      <c r="D227"/>
      <c r="F227"/>
      <c r="G227"/>
      <c r="H227"/>
      <c r="I227"/>
      <c r="J227"/>
      <c r="K227"/>
      <c r="L227"/>
      <c r="M227"/>
    </row>
    <row r="228" spans="1:13" hidden="1">
      <c r="A228"/>
      <c r="B228"/>
      <c r="C228"/>
      <c r="D228"/>
      <c r="F228"/>
      <c r="G228"/>
      <c r="H228"/>
      <c r="I228"/>
      <c r="J228"/>
      <c r="K228"/>
      <c r="L228"/>
      <c r="M228"/>
    </row>
    <row r="229" spans="1:13" hidden="1">
      <c r="A229"/>
      <c r="B229"/>
      <c r="C229"/>
      <c r="D229"/>
      <c r="F229"/>
      <c r="G229"/>
      <c r="H229"/>
      <c r="I229"/>
      <c r="J229"/>
      <c r="K229"/>
      <c r="L229"/>
      <c r="M229"/>
    </row>
    <row r="230" spans="1:13" hidden="1">
      <c r="A230"/>
      <c r="B230"/>
      <c r="C230"/>
      <c r="D230"/>
      <c r="F230"/>
      <c r="G230"/>
      <c r="H230"/>
      <c r="I230"/>
      <c r="J230"/>
      <c r="K230"/>
      <c r="L230"/>
      <c r="M230"/>
    </row>
    <row r="231" spans="1:13" hidden="1">
      <c r="A231"/>
      <c r="B231"/>
      <c r="C231"/>
      <c r="D231"/>
      <c r="F231"/>
      <c r="G231"/>
      <c r="H231"/>
      <c r="I231"/>
      <c r="J231"/>
      <c r="K231"/>
      <c r="L231"/>
      <c r="M231"/>
    </row>
    <row r="232" spans="1:13" hidden="1">
      <c r="A232"/>
      <c r="B232"/>
      <c r="C232"/>
      <c r="D232"/>
      <c r="F232"/>
      <c r="G232"/>
      <c r="H232"/>
      <c r="I232"/>
      <c r="J232"/>
      <c r="K232"/>
      <c r="L232"/>
      <c r="M232"/>
    </row>
    <row r="233" spans="1:13" hidden="1">
      <c r="A233"/>
      <c r="B233"/>
      <c r="C233"/>
      <c r="D233"/>
      <c r="F233"/>
      <c r="G233"/>
      <c r="H233"/>
      <c r="I233"/>
      <c r="J233"/>
      <c r="K233"/>
      <c r="L233"/>
      <c r="M233"/>
    </row>
    <row r="234" spans="1:13" hidden="1">
      <c r="A234"/>
      <c r="B234"/>
      <c r="C234"/>
      <c r="D234"/>
      <c r="F234"/>
      <c r="G234"/>
      <c r="H234"/>
      <c r="I234"/>
      <c r="J234"/>
      <c r="K234"/>
      <c r="L234"/>
      <c r="M234"/>
    </row>
    <row r="235" spans="1:13" hidden="1">
      <c r="A235"/>
      <c r="B235"/>
      <c r="C235"/>
      <c r="D235"/>
      <c r="F235"/>
      <c r="G235"/>
      <c r="H235"/>
      <c r="I235"/>
      <c r="J235"/>
      <c r="K235"/>
      <c r="L235"/>
      <c r="M235"/>
    </row>
    <row r="236" spans="1:13" hidden="1">
      <c r="A236"/>
      <c r="B236"/>
      <c r="C236"/>
      <c r="D236"/>
      <c r="F236"/>
      <c r="G236"/>
      <c r="H236"/>
      <c r="I236"/>
      <c r="J236"/>
      <c r="K236"/>
      <c r="L236"/>
      <c r="M236"/>
    </row>
    <row r="237" spans="1:13" hidden="1">
      <c r="A237"/>
      <c r="B237"/>
      <c r="C237"/>
      <c r="D237"/>
      <c r="F237"/>
      <c r="G237"/>
      <c r="H237"/>
      <c r="I237"/>
      <c r="J237"/>
      <c r="K237"/>
      <c r="L237"/>
      <c r="M237"/>
    </row>
    <row r="238" spans="1:13" hidden="1">
      <c r="A238"/>
      <c r="B238"/>
      <c r="C238"/>
      <c r="D238"/>
      <c r="F238"/>
      <c r="G238"/>
      <c r="H238"/>
      <c r="I238"/>
      <c r="J238"/>
      <c r="K238"/>
      <c r="L238"/>
      <c r="M238"/>
    </row>
    <row r="239" spans="1:13" hidden="1">
      <c r="A239"/>
      <c r="B239"/>
      <c r="C239"/>
      <c r="D239"/>
      <c r="F239"/>
      <c r="G239"/>
      <c r="H239"/>
      <c r="I239"/>
      <c r="J239"/>
      <c r="K239"/>
      <c r="L239"/>
      <c r="M239"/>
    </row>
    <row r="240" spans="1:13" hidden="1">
      <c r="A240"/>
      <c r="B240"/>
      <c r="C240"/>
      <c r="D240"/>
      <c r="F240"/>
      <c r="G240"/>
      <c r="H240"/>
      <c r="I240"/>
      <c r="J240"/>
      <c r="K240"/>
      <c r="L240"/>
      <c r="M240"/>
    </row>
    <row r="241" spans="1:13" hidden="1">
      <c r="A241"/>
      <c r="B241"/>
      <c r="C241"/>
      <c r="D241"/>
      <c r="F241"/>
      <c r="G241"/>
      <c r="H241"/>
      <c r="I241"/>
      <c r="J241"/>
      <c r="K241"/>
      <c r="L241"/>
      <c r="M241"/>
    </row>
    <row r="242" spans="1:13" hidden="1">
      <c r="A242"/>
      <c r="B242"/>
      <c r="C242"/>
      <c r="D242"/>
      <c r="F242"/>
      <c r="G242"/>
      <c r="H242"/>
      <c r="I242"/>
      <c r="J242"/>
      <c r="K242"/>
      <c r="L242"/>
      <c r="M242"/>
    </row>
    <row r="243" spans="1:13" hidden="1">
      <c r="A243"/>
      <c r="B243"/>
      <c r="C243"/>
      <c r="D243"/>
      <c r="F243"/>
      <c r="G243"/>
      <c r="H243"/>
      <c r="I243"/>
      <c r="J243"/>
      <c r="K243"/>
      <c r="L243"/>
      <c r="M243"/>
    </row>
    <row r="244" spans="1:13" hidden="1">
      <c r="A244"/>
      <c r="B244"/>
      <c r="C244"/>
      <c r="D244"/>
      <c r="F244"/>
      <c r="G244"/>
      <c r="H244"/>
      <c r="I244"/>
      <c r="J244"/>
      <c r="K244"/>
      <c r="L244"/>
      <c r="M244"/>
    </row>
    <row r="245" spans="1:13" hidden="1">
      <c r="A245"/>
      <c r="B245"/>
      <c r="C245"/>
      <c r="D245"/>
      <c r="F245"/>
      <c r="G245"/>
      <c r="H245"/>
      <c r="I245"/>
      <c r="J245"/>
      <c r="K245"/>
      <c r="L245"/>
      <c r="M245"/>
    </row>
    <row r="246" spans="1:13" hidden="1">
      <c r="A246"/>
      <c r="B246"/>
      <c r="C246"/>
      <c r="D246"/>
      <c r="F246"/>
      <c r="G246"/>
      <c r="H246"/>
      <c r="I246"/>
      <c r="J246"/>
      <c r="K246"/>
      <c r="L246"/>
      <c r="M246"/>
    </row>
    <row r="247" spans="1:13" hidden="1">
      <c r="A247"/>
      <c r="B247"/>
      <c r="C247"/>
      <c r="D247"/>
      <c r="F247"/>
      <c r="G247"/>
      <c r="H247"/>
      <c r="I247"/>
      <c r="J247"/>
      <c r="K247"/>
      <c r="L247"/>
      <c r="M247"/>
    </row>
    <row r="248" spans="1:13" hidden="1">
      <c r="A248"/>
      <c r="B248"/>
      <c r="C248"/>
      <c r="D248"/>
      <c r="F248"/>
      <c r="G248"/>
      <c r="H248"/>
      <c r="I248"/>
      <c r="J248"/>
      <c r="K248"/>
      <c r="L248"/>
      <c r="M248"/>
    </row>
    <row r="249" spans="1:13" hidden="1">
      <c r="A249"/>
      <c r="B249"/>
      <c r="C249"/>
      <c r="D249"/>
      <c r="F249"/>
      <c r="G249"/>
      <c r="H249"/>
      <c r="I249"/>
      <c r="J249"/>
      <c r="K249"/>
      <c r="L249"/>
      <c r="M249"/>
    </row>
    <row r="250" spans="1:13" hidden="1">
      <c r="A250"/>
      <c r="B250"/>
      <c r="C250"/>
      <c r="D250"/>
      <c r="F250"/>
      <c r="G250"/>
      <c r="H250"/>
      <c r="I250"/>
      <c r="J250"/>
      <c r="K250"/>
      <c r="L250"/>
      <c r="M250"/>
    </row>
    <row r="251" spans="1:13" hidden="1">
      <c r="A251"/>
      <c r="B251"/>
      <c r="C251"/>
      <c r="D251"/>
      <c r="F251"/>
      <c r="G251"/>
      <c r="H251"/>
      <c r="I251"/>
      <c r="J251"/>
      <c r="K251"/>
      <c r="L251"/>
      <c r="M251"/>
    </row>
    <row r="252" spans="1:13" hidden="1">
      <c r="A252"/>
      <c r="B252"/>
      <c r="C252"/>
      <c r="D252"/>
      <c r="F252"/>
      <c r="G252"/>
      <c r="H252"/>
      <c r="I252"/>
      <c r="J252"/>
      <c r="K252"/>
      <c r="L252"/>
      <c r="M252"/>
    </row>
    <row r="253" spans="1:13" hidden="1">
      <c r="A253"/>
      <c r="B253"/>
      <c r="C253"/>
      <c r="D253"/>
      <c r="F253"/>
      <c r="G253"/>
      <c r="H253"/>
      <c r="I253"/>
      <c r="J253"/>
      <c r="K253"/>
      <c r="L253"/>
      <c r="M253"/>
    </row>
    <row r="254" spans="1:13" hidden="1">
      <c r="A254"/>
      <c r="B254"/>
      <c r="C254"/>
      <c r="D254"/>
      <c r="F254"/>
      <c r="G254"/>
      <c r="H254"/>
      <c r="I254"/>
      <c r="J254"/>
      <c r="K254"/>
      <c r="L254"/>
      <c r="M254"/>
    </row>
    <row r="255" spans="1:13" hidden="1">
      <c r="A255"/>
      <c r="B255"/>
      <c r="C255"/>
      <c r="D255"/>
      <c r="F255"/>
      <c r="G255"/>
      <c r="H255"/>
      <c r="I255"/>
      <c r="J255"/>
      <c r="K255"/>
      <c r="L255"/>
      <c r="M255"/>
    </row>
    <row r="256" spans="1:13" hidden="1">
      <c r="A256"/>
      <c r="B256"/>
      <c r="C256"/>
      <c r="D256"/>
      <c r="F256"/>
      <c r="G256"/>
      <c r="H256"/>
      <c r="I256"/>
      <c r="J256"/>
      <c r="K256"/>
      <c r="L256"/>
      <c r="M256"/>
    </row>
    <row r="257" spans="1:13" hidden="1">
      <c r="A257"/>
      <c r="B257"/>
      <c r="C257"/>
      <c r="D257"/>
      <c r="F257"/>
      <c r="G257"/>
      <c r="H257"/>
      <c r="I257"/>
      <c r="J257"/>
      <c r="K257"/>
      <c r="L257"/>
      <c r="M257"/>
    </row>
    <row r="258" spans="1:13" hidden="1">
      <c r="A258"/>
      <c r="B258"/>
      <c r="C258"/>
      <c r="D258"/>
      <c r="F258"/>
      <c r="G258"/>
      <c r="H258"/>
      <c r="I258"/>
      <c r="J258"/>
      <c r="K258"/>
      <c r="L258"/>
      <c r="M258"/>
    </row>
    <row r="259" spans="1:13" hidden="1">
      <c r="A259"/>
      <c r="B259"/>
      <c r="C259"/>
      <c r="D259"/>
      <c r="F259"/>
      <c r="G259"/>
      <c r="H259"/>
      <c r="I259"/>
      <c r="J259"/>
      <c r="K259"/>
      <c r="L259"/>
      <c r="M259"/>
    </row>
    <row r="260" spans="1:13" hidden="1">
      <c r="A260"/>
      <c r="B260"/>
      <c r="C260"/>
      <c r="D260"/>
      <c r="F260"/>
      <c r="G260"/>
      <c r="H260"/>
      <c r="I260"/>
      <c r="J260"/>
      <c r="K260"/>
      <c r="L260"/>
      <c r="M260"/>
    </row>
    <row r="261" spans="1:13" hidden="1">
      <c r="A261"/>
      <c r="B261"/>
      <c r="C261"/>
      <c r="D261"/>
      <c r="F261"/>
      <c r="G261"/>
      <c r="H261"/>
      <c r="I261"/>
      <c r="J261"/>
      <c r="K261"/>
      <c r="L261"/>
      <c r="M261"/>
    </row>
    <row r="262" spans="1:13" hidden="1">
      <c r="A262"/>
      <c r="B262"/>
      <c r="C262"/>
      <c r="D262"/>
      <c r="F262"/>
      <c r="G262"/>
      <c r="H262"/>
      <c r="I262"/>
      <c r="J262"/>
      <c r="K262"/>
      <c r="L262"/>
      <c r="M262"/>
    </row>
    <row r="263" spans="1:13" hidden="1">
      <c r="A263"/>
      <c r="B263"/>
      <c r="C263"/>
      <c r="D263"/>
      <c r="F263"/>
      <c r="G263"/>
      <c r="H263"/>
      <c r="I263"/>
      <c r="J263"/>
      <c r="K263"/>
      <c r="L263"/>
      <c r="M263"/>
    </row>
    <row r="264" spans="1:13" hidden="1">
      <c r="A264"/>
      <c r="B264"/>
      <c r="C264"/>
      <c r="D264"/>
      <c r="F264"/>
      <c r="G264"/>
      <c r="H264"/>
      <c r="I264"/>
      <c r="J264"/>
      <c r="K264"/>
      <c r="L264"/>
      <c r="M264"/>
    </row>
    <row r="265" spans="1:13" hidden="1">
      <c r="A265"/>
      <c r="B265"/>
      <c r="C265"/>
      <c r="D265"/>
      <c r="F265"/>
      <c r="G265"/>
      <c r="H265"/>
      <c r="I265"/>
      <c r="J265"/>
      <c r="K265"/>
      <c r="L265"/>
      <c r="M265"/>
    </row>
    <row r="266" spans="1:13" hidden="1">
      <c r="A266"/>
      <c r="B266"/>
      <c r="C266"/>
      <c r="D266"/>
      <c r="F266"/>
      <c r="G266"/>
      <c r="H266"/>
      <c r="I266"/>
      <c r="J266"/>
      <c r="K266"/>
      <c r="L266"/>
      <c r="M266"/>
    </row>
    <row r="267" spans="1:13" hidden="1">
      <c r="A267"/>
      <c r="B267"/>
      <c r="C267"/>
      <c r="D267"/>
      <c r="F267"/>
      <c r="G267"/>
      <c r="H267"/>
      <c r="I267"/>
      <c r="J267"/>
      <c r="K267"/>
      <c r="L267"/>
      <c r="M267"/>
    </row>
    <row r="268" spans="1:13" hidden="1">
      <c r="A268"/>
      <c r="B268"/>
      <c r="C268"/>
      <c r="D268"/>
      <c r="F268"/>
      <c r="G268"/>
      <c r="H268"/>
      <c r="I268"/>
      <c r="J268"/>
      <c r="K268"/>
      <c r="L268"/>
      <c r="M268"/>
    </row>
    <row r="269" spans="1:13" hidden="1">
      <c r="A269"/>
      <c r="B269"/>
      <c r="C269"/>
      <c r="D269"/>
      <c r="F269"/>
      <c r="G269"/>
      <c r="H269"/>
      <c r="I269"/>
      <c r="J269"/>
      <c r="K269"/>
      <c r="L269"/>
      <c r="M269"/>
    </row>
    <row r="270" spans="1:13" hidden="1">
      <c r="A270"/>
      <c r="B270"/>
      <c r="C270"/>
      <c r="D270"/>
      <c r="F270"/>
      <c r="G270"/>
      <c r="H270"/>
      <c r="I270"/>
      <c r="J270"/>
      <c r="K270"/>
      <c r="L270"/>
      <c r="M270"/>
    </row>
    <row r="271" spans="1:13" hidden="1">
      <c r="A271"/>
      <c r="B271"/>
      <c r="C271"/>
      <c r="D271"/>
      <c r="F271"/>
      <c r="G271"/>
      <c r="H271"/>
      <c r="I271"/>
      <c r="J271"/>
      <c r="K271"/>
      <c r="L271"/>
      <c r="M271"/>
    </row>
    <row r="272" spans="1:13" hidden="1">
      <c r="A272"/>
      <c r="B272"/>
      <c r="C272"/>
      <c r="D272"/>
      <c r="F272"/>
      <c r="G272"/>
      <c r="H272"/>
      <c r="I272"/>
      <c r="J272"/>
      <c r="K272"/>
      <c r="L272"/>
      <c r="M272"/>
    </row>
    <row r="273" spans="1:13" hidden="1">
      <c r="A273"/>
      <c r="B273"/>
      <c r="C273"/>
      <c r="D273"/>
      <c r="F273"/>
      <c r="G273"/>
      <c r="H273"/>
      <c r="I273"/>
      <c r="J273"/>
      <c r="K273"/>
      <c r="L273"/>
      <c r="M273"/>
    </row>
    <row r="274" spans="1:13" hidden="1">
      <c r="A274"/>
      <c r="B274"/>
      <c r="C274"/>
      <c r="D274"/>
      <c r="F274"/>
      <c r="G274"/>
      <c r="H274"/>
      <c r="I274"/>
      <c r="J274"/>
      <c r="K274"/>
      <c r="L274"/>
      <c r="M274"/>
    </row>
    <row r="275" spans="1:13" hidden="1">
      <c r="A275"/>
      <c r="B275"/>
      <c r="C275"/>
      <c r="D275"/>
      <c r="F275"/>
      <c r="G275"/>
      <c r="H275"/>
      <c r="I275"/>
      <c r="J275"/>
      <c r="K275"/>
      <c r="L275"/>
      <c r="M275"/>
    </row>
    <row r="276" spans="1:13" hidden="1">
      <c r="A276"/>
      <c r="B276"/>
      <c r="C276"/>
      <c r="D276"/>
      <c r="F276"/>
      <c r="G276"/>
      <c r="H276"/>
      <c r="I276"/>
      <c r="J276"/>
      <c r="K276"/>
      <c r="L276"/>
      <c r="M276"/>
    </row>
    <row r="277" spans="1:13" hidden="1">
      <c r="A277"/>
      <c r="B277"/>
      <c r="C277"/>
      <c r="D277"/>
      <c r="F277"/>
      <c r="G277"/>
      <c r="H277"/>
      <c r="I277"/>
      <c r="J277"/>
      <c r="K277"/>
      <c r="L277"/>
      <c r="M277"/>
    </row>
    <row r="278" spans="1:13" hidden="1">
      <c r="A278"/>
      <c r="B278"/>
      <c r="C278"/>
      <c r="D278"/>
      <c r="F278"/>
      <c r="G278"/>
      <c r="H278"/>
      <c r="I278"/>
      <c r="J278"/>
      <c r="K278"/>
      <c r="L278"/>
      <c r="M278"/>
    </row>
    <row r="279" spans="1:13" hidden="1">
      <c r="A279"/>
      <c r="B279"/>
      <c r="C279"/>
      <c r="D279"/>
      <c r="F279"/>
      <c r="G279"/>
      <c r="H279"/>
      <c r="I279"/>
      <c r="J279"/>
      <c r="K279"/>
      <c r="L279"/>
      <c r="M279"/>
    </row>
    <row r="280" spans="1:13" hidden="1">
      <c r="A280"/>
      <c r="B280"/>
      <c r="C280"/>
      <c r="D280"/>
      <c r="F280"/>
      <c r="G280"/>
      <c r="H280"/>
      <c r="I280"/>
      <c r="J280"/>
      <c r="K280"/>
      <c r="L280"/>
      <c r="M280"/>
    </row>
    <row r="281" spans="1:13" hidden="1">
      <c r="A281"/>
      <c r="B281"/>
      <c r="C281"/>
      <c r="D281"/>
      <c r="F281"/>
      <c r="G281"/>
      <c r="H281"/>
      <c r="I281"/>
      <c r="J281"/>
      <c r="K281"/>
      <c r="L281"/>
      <c r="M281"/>
    </row>
    <row r="282" spans="1:13" hidden="1">
      <c r="A282"/>
      <c r="B282"/>
      <c r="C282"/>
      <c r="D282"/>
      <c r="F282"/>
      <c r="G282"/>
      <c r="H282"/>
      <c r="I282"/>
      <c r="J282"/>
      <c r="K282"/>
      <c r="L282"/>
      <c r="M282"/>
    </row>
    <row r="283" spans="1:13" hidden="1">
      <c r="A283"/>
      <c r="B283"/>
      <c r="C283"/>
      <c r="D283"/>
      <c r="F283"/>
      <c r="G283"/>
      <c r="H283"/>
      <c r="I283"/>
      <c r="J283"/>
      <c r="K283"/>
      <c r="L283"/>
      <c r="M283"/>
    </row>
    <row r="284" spans="1:13" hidden="1">
      <c r="A284"/>
      <c r="B284"/>
      <c r="C284"/>
      <c r="D284"/>
      <c r="F284"/>
      <c r="G284"/>
      <c r="H284"/>
      <c r="I284"/>
      <c r="J284"/>
      <c r="K284"/>
      <c r="L284"/>
      <c r="M284"/>
    </row>
    <row r="285" spans="1:13" hidden="1">
      <c r="A285"/>
      <c r="B285"/>
      <c r="C285"/>
      <c r="D285"/>
      <c r="F285"/>
      <c r="G285"/>
      <c r="H285"/>
      <c r="I285"/>
      <c r="J285"/>
      <c r="K285"/>
      <c r="L285"/>
      <c r="M285"/>
    </row>
    <row r="286" spans="1:13" hidden="1">
      <c r="A286"/>
      <c r="B286"/>
      <c r="C286"/>
      <c r="D286"/>
      <c r="F286"/>
      <c r="G286"/>
      <c r="H286"/>
      <c r="I286"/>
      <c r="J286"/>
      <c r="K286"/>
      <c r="L286"/>
      <c r="M286"/>
    </row>
    <row r="287" spans="1:13" hidden="1">
      <c r="A287"/>
      <c r="B287"/>
      <c r="C287"/>
      <c r="D287"/>
      <c r="F287"/>
      <c r="G287"/>
      <c r="H287"/>
      <c r="I287"/>
      <c r="J287"/>
      <c r="K287"/>
      <c r="L287"/>
      <c r="M287"/>
    </row>
    <row r="288" spans="1:13" hidden="1">
      <c r="A288"/>
      <c r="B288"/>
      <c r="C288"/>
      <c r="D288"/>
      <c r="F288"/>
      <c r="G288"/>
      <c r="H288"/>
      <c r="I288"/>
      <c r="J288"/>
      <c r="K288"/>
      <c r="L288"/>
      <c r="M288"/>
    </row>
    <row r="289" spans="1:13" hidden="1">
      <c r="A289"/>
      <c r="B289"/>
      <c r="C289"/>
      <c r="D289"/>
      <c r="F289"/>
      <c r="G289"/>
      <c r="H289"/>
      <c r="I289"/>
      <c r="J289"/>
      <c r="K289"/>
      <c r="L289"/>
      <c r="M289"/>
    </row>
    <row r="290" spans="1:13" hidden="1">
      <c r="A290"/>
      <c r="B290"/>
      <c r="C290"/>
      <c r="D290"/>
      <c r="F290"/>
      <c r="G290"/>
      <c r="H290"/>
      <c r="I290"/>
      <c r="J290"/>
      <c r="K290"/>
      <c r="L290"/>
      <c r="M290"/>
    </row>
    <row r="291" spans="1:13" hidden="1">
      <c r="A291"/>
      <c r="B291"/>
      <c r="C291"/>
      <c r="D291"/>
      <c r="F291"/>
      <c r="G291"/>
      <c r="H291"/>
      <c r="I291"/>
      <c r="J291"/>
      <c r="K291"/>
      <c r="L291"/>
      <c r="M291"/>
    </row>
    <row r="292" spans="1:13" hidden="1">
      <c r="A292"/>
      <c r="B292"/>
      <c r="C292"/>
      <c r="D292"/>
      <c r="F292"/>
      <c r="G292"/>
      <c r="H292"/>
      <c r="I292"/>
      <c r="J292"/>
      <c r="K292"/>
      <c r="L292"/>
      <c r="M292"/>
    </row>
    <row r="293" spans="1:13" hidden="1">
      <c r="A293"/>
      <c r="B293"/>
      <c r="C293"/>
      <c r="D293"/>
      <c r="F293"/>
      <c r="G293"/>
      <c r="H293"/>
      <c r="I293"/>
      <c r="J293"/>
      <c r="K293"/>
      <c r="L293"/>
      <c r="M293"/>
    </row>
    <row r="294" spans="1:13" hidden="1">
      <c r="A294"/>
      <c r="B294"/>
      <c r="C294"/>
      <c r="D294"/>
      <c r="F294"/>
      <c r="G294"/>
      <c r="H294"/>
      <c r="I294"/>
      <c r="J294"/>
      <c r="K294"/>
      <c r="L294"/>
      <c r="M294"/>
    </row>
    <row r="295" spans="1:13" hidden="1">
      <c r="A295"/>
      <c r="B295"/>
      <c r="C295"/>
      <c r="D295"/>
      <c r="F295"/>
      <c r="G295"/>
      <c r="H295"/>
      <c r="I295"/>
      <c r="J295"/>
      <c r="K295"/>
      <c r="L295"/>
      <c r="M295"/>
    </row>
    <row r="296" spans="1:13" hidden="1">
      <c r="A296"/>
      <c r="B296"/>
      <c r="C296"/>
      <c r="D296"/>
      <c r="F296"/>
      <c r="G296"/>
      <c r="H296"/>
      <c r="I296"/>
      <c r="J296"/>
      <c r="K296"/>
      <c r="L296"/>
      <c r="M296"/>
    </row>
    <row r="297" spans="1:13" hidden="1">
      <c r="A297"/>
      <c r="B297"/>
      <c r="C297"/>
      <c r="D297"/>
      <c r="F297"/>
      <c r="G297"/>
      <c r="H297"/>
      <c r="I297"/>
      <c r="J297"/>
      <c r="K297"/>
      <c r="L297"/>
      <c r="M297"/>
    </row>
    <row r="298" spans="1:13" hidden="1">
      <c r="A298"/>
      <c r="B298"/>
      <c r="C298"/>
      <c r="D298"/>
      <c r="F298"/>
      <c r="G298"/>
      <c r="H298"/>
      <c r="I298"/>
      <c r="J298"/>
      <c r="K298"/>
      <c r="L298"/>
      <c r="M298"/>
    </row>
    <row r="299" spans="1:13" hidden="1">
      <c r="A299"/>
      <c r="B299"/>
      <c r="C299"/>
      <c r="D299"/>
      <c r="F299"/>
      <c r="G299"/>
      <c r="H299"/>
      <c r="I299"/>
      <c r="J299"/>
      <c r="K299"/>
      <c r="L299"/>
      <c r="M299"/>
    </row>
    <row r="300" spans="1:13" hidden="1">
      <c r="A300"/>
      <c r="B300"/>
      <c r="C300"/>
      <c r="D300"/>
      <c r="F300"/>
      <c r="G300"/>
      <c r="H300"/>
      <c r="I300"/>
      <c r="J300"/>
      <c r="K300"/>
      <c r="L300"/>
      <c r="M300"/>
    </row>
    <row r="301" spans="1:13" hidden="1">
      <c r="A301"/>
      <c r="B301"/>
      <c r="C301"/>
      <c r="D301"/>
      <c r="F301"/>
      <c r="G301"/>
      <c r="H301"/>
      <c r="I301"/>
      <c r="J301"/>
      <c r="K301"/>
      <c r="L301"/>
      <c r="M301"/>
    </row>
    <row r="302" spans="1:13" hidden="1">
      <c r="A302"/>
      <c r="B302"/>
      <c r="C302"/>
      <c r="D302"/>
      <c r="F302"/>
      <c r="G302"/>
      <c r="H302"/>
      <c r="I302"/>
      <c r="J302"/>
      <c r="K302"/>
      <c r="L302"/>
      <c r="M302"/>
    </row>
    <row r="303" spans="1:13" hidden="1">
      <c r="A303"/>
      <c r="B303"/>
      <c r="C303"/>
      <c r="D303"/>
      <c r="F303"/>
      <c r="G303"/>
      <c r="H303"/>
      <c r="I303"/>
      <c r="J303"/>
      <c r="K303"/>
      <c r="L303"/>
      <c r="M303"/>
    </row>
    <row r="304" spans="1:13" hidden="1">
      <c r="A304"/>
      <c r="B304"/>
      <c r="C304"/>
      <c r="D304"/>
      <c r="F304"/>
      <c r="G304"/>
      <c r="H304"/>
      <c r="I304"/>
      <c r="J304"/>
      <c r="K304"/>
      <c r="L304"/>
      <c r="M304"/>
    </row>
    <row r="305" spans="1:13" hidden="1">
      <c r="A305"/>
      <c r="B305"/>
      <c r="C305"/>
      <c r="D305"/>
      <c r="F305"/>
      <c r="G305"/>
      <c r="H305"/>
      <c r="I305"/>
      <c r="J305"/>
      <c r="K305"/>
      <c r="L305"/>
      <c r="M305"/>
    </row>
    <row r="306" spans="1:13" hidden="1">
      <c r="A306"/>
      <c r="B306"/>
      <c r="C306"/>
      <c r="D306"/>
      <c r="F306"/>
      <c r="G306"/>
      <c r="H306"/>
      <c r="I306"/>
      <c r="J306"/>
      <c r="K306"/>
      <c r="L306"/>
      <c r="M306"/>
    </row>
    <row r="307" spans="1:13" hidden="1">
      <c r="A307"/>
      <c r="B307"/>
      <c r="C307"/>
      <c r="D307"/>
      <c r="F307"/>
      <c r="G307"/>
      <c r="H307"/>
      <c r="I307"/>
      <c r="J307"/>
      <c r="K307"/>
      <c r="L307"/>
      <c r="M307"/>
    </row>
    <row r="308" spans="1:13" hidden="1">
      <c r="A308"/>
      <c r="B308"/>
      <c r="C308"/>
      <c r="D308"/>
      <c r="F308"/>
      <c r="G308"/>
      <c r="H308"/>
      <c r="I308"/>
      <c r="J308"/>
      <c r="K308"/>
      <c r="L308"/>
      <c r="M308"/>
    </row>
    <row r="309" spans="1:13" hidden="1">
      <c r="A309"/>
      <c r="B309"/>
      <c r="C309"/>
      <c r="D309"/>
      <c r="F309"/>
      <c r="G309"/>
      <c r="H309"/>
      <c r="I309"/>
      <c r="J309"/>
      <c r="K309"/>
      <c r="L309"/>
      <c r="M309"/>
    </row>
    <row r="310" spans="1:13" hidden="1">
      <c r="A310"/>
      <c r="B310"/>
      <c r="C310"/>
      <c r="D310"/>
      <c r="F310"/>
      <c r="G310"/>
      <c r="H310"/>
      <c r="I310"/>
      <c r="J310"/>
      <c r="K310"/>
      <c r="L310"/>
      <c r="M310"/>
    </row>
    <row r="311" spans="1:13" hidden="1">
      <c r="A311"/>
      <c r="B311"/>
      <c r="C311"/>
      <c r="D311"/>
      <c r="F311"/>
      <c r="G311"/>
      <c r="H311"/>
      <c r="I311"/>
      <c r="J311"/>
      <c r="K311"/>
      <c r="L311"/>
      <c r="M311"/>
    </row>
    <row r="312" spans="1:13" hidden="1">
      <c r="A312"/>
      <c r="B312"/>
      <c r="C312"/>
      <c r="D312"/>
      <c r="F312"/>
      <c r="G312"/>
      <c r="H312"/>
      <c r="I312"/>
      <c r="J312"/>
      <c r="K312"/>
      <c r="L312"/>
      <c r="M312"/>
    </row>
    <row r="313" spans="1:13" hidden="1">
      <c r="A313"/>
      <c r="B313"/>
      <c r="C313"/>
      <c r="D313"/>
      <c r="F313"/>
      <c r="G313"/>
      <c r="H313"/>
      <c r="I313"/>
      <c r="J313"/>
      <c r="K313"/>
      <c r="L313"/>
      <c r="M313"/>
    </row>
    <row r="314" spans="1:13" hidden="1">
      <c r="A314"/>
      <c r="B314"/>
      <c r="C314"/>
      <c r="D314"/>
      <c r="F314"/>
      <c r="G314"/>
      <c r="H314"/>
      <c r="I314"/>
      <c r="J314"/>
      <c r="K314"/>
      <c r="L314"/>
      <c r="M314"/>
    </row>
    <row r="315" spans="1:13" hidden="1">
      <c r="A315"/>
      <c r="B315"/>
      <c r="C315"/>
      <c r="D315"/>
      <c r="F315"/>
      <c r="G315"/>
      <c r="H315"/>
      <c r="I315"/>
      <c r="J315"/>
      <c r="K315"/>
      <c r="L315"/>
      <c r="M315"/>
    </row>
    <row r="316" spans="1:13" hidden="1">
      <c r="A316"/>
      <c r="B316"/>
      <c r="C316"/>
      <c r="D316"/>
      <c r="F316"/>
      <c r="G316"/>
      <c r="H316"/>
      <c r="I316"/>
      <c r="J316"/>
      <c r="K316"/>
      <c r="L316"/>
      <c r="M316"/>
    </row>
    <row r="317" spans="1:13" hidden="1">
      <c r="A317"/>
      <c r="B317"/>
      <c r="C317"/>
      <c r="D317"/>
      <c r="F317"/>
      <c r="G317"/>
      <c r="H317"/>
      <c r="I317"/>
      <c r="J317"/>
      <c r="K317"/>
      <c r="L317"/>
      <c r="M317"/>
    </row>
    <row r="318" spans="1:13" hidden="1">
      <c r="A318"/>
      <c r="B318"/>
      <c r="C318"/>
      <c r="D318"/>
      <c r="F318"/>
      <c r="G318"/>
      <c r="H318"/>
      <c r="I318"/>
      <c r="J318"/>
      <c r="K318"/>
      <c r="L318"/>
      <c r="M318"/>
    </row>
    <row r="319" spans="1:13" hidden="1">
      <c r="A319"/>
      <c r="B319"/>
      <c r="C319"/>
      <c r="D319"/>
      <c r="F319"/>
      <c r="G319"/>
      <c r="H319"/>
      <c r="I319"/>
      <c r="J319"/>
      <c r="K319"/>
      <c r="L319"/>
      <c r="M319"/>
    </row>
    <row r="320" spans="1:13" hidden="1">
      <c r="A320"/>
      <c r="B320"/>
      <c r="C320"/>
      <c r="D320"/>
      <c r="F320"/>
      <c r="G320"/>
      <c r="H320"/>
      <c r="I320"/>
      <c r="J320"/>
      <c r="K320"/>
      <c r="L320"/>
      <c r="M320"/>
    </row>
    <row r="321" spans="1:13" hidden="1">
      <c r="A321"/>
      <c r="B321"/>
      <c r="C321"/>
      <c r="D321"/>
      <c r="F321"/>
      <c r="G321"/>
      <c r="H321"/>
      <c r="I321"/>
      <c r="J321"/>
      <c r="K321"/>
      <c r="L321"/>
      <c r="M321"/>
    </row>
    <row r="322" spans="1:13" hidden="1">
      <c r="A322"/>
      <c r="B322"/>
      <c r="C322"/>
      <c r="D322"/>
      <c r="F322"/>
      <c r="G322"/>
      <c r="H322"/>
      <c r="I322"/>
      <c r="J322"/>
      <c r="K322"/>
      <c r="L322"/>
      <c r="M322"/>
    </row>
    <row r="323" spans="1:13" hidden="1">
      <c r="A323"/>
      <c r="B323"/>
      <c r="C323"/>
      <c r="D323"/>
      <c r="F323"/>
      <c r="G323"/>
      <c r="H323"/>
      <c r="I323"/>
      <c r="J323"/>
      <c r="K323"/>
      <c r="L323"/>
      <c r="M323"/>
    </row>
    <row r="324" spans="1:13" hidden="1">
      <c r="A324"/>
      <c r="B324"/>
      <c r="C324"/>
      <c r="D324"/>
      <c r="F324"/>
      <c r="G324"/>
      <c r="H324"/>
      <c r="I324"/>
      <c r="J324"/>
      <c r="K324"/>
      <c r="L324"/>
      <c r="M324"/>
    </row>
    <row r="325" spans="1:13" hidden="1">
      <c r="A325"/>
      <c r="B325"/>
      <c r="C325"/>
      <c r="D325"/>
      <c r="F325"/>
      <c r="G325"/>
      <c r="H325"/>
      <c r="I325"/>
      <c r="J325"/>
      <c r="K325"/>
      <c r="L325"/>
      <c r="M325"/>
    </row>
    <row r="326" spans="1:13" hidden="1">
      <c r="A326"/>
      <c r="B326"/>
      <c r="C326"/>
      <c r="D326"/>
      <c r="F326"/>
      <c r="G326"/>
      <c r="H326"/>
      <c r="I326"/>
      <c r="J326"/>
      <c r="K326"/>
      <c r="L326"/>
      <c r="M326"/>
    </row>
    <row r="327" spans="1:13" hidden="1">
      <c r="A327"/>
      <c r="B327"/>
      <c r="C327"/>
      <c r="D327"/>
      <c r="F327"/>
      <c r="G327"/>
      <c r="H327"/>
      <c r="I327"/>
      <c r="J327"/>
      <c r="K327"/>
      <c r="L327"/>
      <c r="M327"/>
    </row>
    <row r="328" spans="1:13" hidden="1">
      <c r="A328"/>
      <c r="B328"/>
      <c r="C328"/>
      <c r="D328"/>
      <c r="F328"/>
      <c r="G328"/>
      <c r="H328"/>
      <c r="I328"/>
      <c r="J328"/>
      <c r="K328"/>
      <c r="L328"/>
      <c r="M328"/>
    </row>
    <row r="329" spans="1:13" hidden="1">
      <c r="A329"/>
      <c r="B329"/>
      <c r="C329"/>
      <c r="D329"/>
      <c r="F329"/>
      <c r="G329"/>
      <c r="H329"/>
      <c r="I329"/>
      <c r="J329"/>
      <c r="K329"/>
      <c r="L329"/>
      <c r="M329"/>
    </row>
    <row r="330" spans="1:13" hidden="1">
      <c r="A330"/>
      <c r="B330"/>
      <c r="C330"/>
      <c r="D330"/>
      <c r="F330"/>
      <c r="G330"/>
      <c r="H330"/>
      <c r="I330"/>
      <c r="J330"/>
      <c r="K330"/>
      <c r="L330"/>
      <c r="M330"/>
    </row>
    <row r="331" spans="1:13" hidden="1">
      <c r="A331"/>
      <c r="B331"/>
      <c r="C331"/>
      <c r="D331"/>
      <c r="F331"/>
      <c r="G331"/>
      <c r="H331"/>
      <c r="I331"/>
      <c r="J331"/>
      <c r="K331"/>
      <c r="L331"/>
      <c r="M331"/>
    </row>
    <row r="332" spans="1:13" hidden="1">
      <c r="A332"/>
      <c r="B332"/>
      <c r="C332"/>
      <c r="D332"/>
      <c r="F332"/>
      <c r="G332"/>
      <c r="H332"/>
      <c r="I332"/>
      <c r="J332"/>
      <c r="K332"/>
      <c r="L332"/>
      <c r="M332"/>
    </row>
    <row r="333" spans="1:13" hidden="1">
      <c r="A333"/>
      <c r="B333"/>
      <c r="C333"/>
      <c r="D333"/>
      <c r="F333"/>
      <c r="G333"/>
      <c r="H333"/>
      <c r="I333"/>
      <c r="J333"/>
      <c r="K333"/>
      <c r="L333"/>
      <c r="M333"/>
    </row>
    <row r="334" spans="1:13" hidden="1">
      <c r="A334"/>
      <c r="B334"/>
      <c r="C334"/>
      <c r="D334"/>
      <c r="F334"/>
      <c r="G334"/>
      <c r="H334"/>
      <c r="I334"/>
      <c r="J334"/>
      <c r="K334"/>
      <c r="L334"/>
      <c r="M334"/>
    </row>
    <row r="335" spans="1:13" hidden="1">
      <c r="A335"/>
      <c r="B335"/>
      <c r="C335"/>
      <c r="D335"/>
      <c r="F335"/>
      <c r="G335"/>
      <c r="H335"/>
      <c r="I335"/>
      <c r="J335"/>
      <c r="K335"/>
      <c r="L335"/>
      <c r="M335"/>
    </row>
    <row r="336" spans="1:13" hidden="1">
      <c r="A336"/>
      <c r="B336"/>
      <c r="C336"/>
      <c r="D336"/>
      <c r="F336"/>
      <c r="G336"/>
      <c r="H336"/>
      <c r="I336"/>
      <c r="J336"/>
      <c r="K336"/>
      <c r="L336"/>
      <c r="M336"/>
    </row>
    <row r="337" spans="1:13" hidden="1">
      <c r="A337"/>
      <c r="B337"/>
      <c r="C337"/>
      <c r="D337"/>
      <c r="F337"/>
      <c r="G337"/>
      <c r="H337"/>
      <c r="I337"/>
      <c r="J337"/>
      <c r="K337"/>
      <c r="L337"/>
      <c r="M337"/>
    </row>
    <row r="338" spans="1:13" hidden="1">
      <c r="A338"/>
      <c r="B338"/>
      <c r="C338"/>
      <c r="D338"/>
      <c r="F338"/>
      <c r="G338"/>
      <c r="H338"/>
      <c r="I338"/>
      <c r="J338"/>
      <c r="K338"/>
      <c r="L338"/>
      <c r="M338"/>
    </row>
    <row r="339" spans="1:13" hidden="1">
      <c r="A339"/>
      <c r="B339"/>
      <c r="C339"/>
      <c r="D339"/>
      <c r="F339"/>
      <c r="G339"/>
      <c r="H339"/>
      <c r="I339"/>
      <c r="J339"/>
      <c r="K339"/>
      <c r="L339"/>
      <c r="M339"/>
    </row>
    <row r="340" spans="1:13" hidden="1">
      <c r="A340"/>
      <c r="B340"/>
      <c r="C340"/>
      <c r="D340"/>
      <c r="F340"/>
      <c r="G340"/>
      <c r="H340"/>
      <c r="I340"/>
      <c r="J340"/>
      <c r="K340"/>
      <c r="L340"/>
      <c r="M340"/>
    </row>
    <row r="341" spans="1:13" hidden="1">
      <c r="A341"/>
      <c r="B341"/>
      <c r="C341"/>
      <c r="D341"/>
      <c r="F341"/>
      <c r="G341"/>
      <c r="H341"/>
      <c r="I341"/>
      <c r="J341"/>
      <c r="K341"/>
      <c r="L341"/>
      <c r="M341"/>
    </row>
    <row r="342" spans="1:13" hidden="1">
      <c r="A342"/>
      <c r="B342"/>
      <c r="C342"/>
      <c r="D342"/>
      <c r="F342"/>
      <c r="G342"/>
      <c r="H342"/>
      <c r="I342"/>
      <c r="J342"/>
      <c r="K342"/>
      <c r="L342"/>
      <c r="M342"/>
    </row>
    <row r="343" spans="1:13" hidden="1">
      <c r="A343"/>
      <c r="B343"/>
      <c r="C343"/>
      <c r="D343"/>
      <c r="F343"/>
      <c r="G343"/>
      <c r="H343"/>
      <c r="I343"/>
      <c r="J343"/>
      <c r="K343"/>
      <c r="L343"/>
      <c r="M343"/>
    </row>
    <row r="344" spans="1:13" hidden="1">
      <c r="A344"/>
      <c r="B344"/>
      <c r="C344"/>
      <c r="D344"/>
      <c r="F344"/>
      <c r="G344"/>
      <c r="H344"/>
      <c r="I344"/>
      <c r="J344"/>
      <c r="K344"/>
      <c r="L344"/>
      <c r="M344"/>
    </row>
    <row r="345" spans="1:13" hidden="1">
      <c r="A345"/>
      <c r="B345"/>
      <c r="C345"/>
      <c r="D345"/>
      <c r="F345"/>
      <c r="G345"/>
      <c r="H345"/>
      <c r="I345"/>
      <c r="J345"/>
      <c r="K345"/>
      <c r="L345"/>
      <c r="M345"/>
    </row>
    <row r="346" spans="1:13" hidden="1">
      <c r="A346"/>
      <c r="B346"/>
      <c r="C346"/>
      <c r="D346"/>
      <c r="F346"/>
      <c r="G346"/>
      <c r="H346"/>
      <c r="I346"/>
      <c r="J346"/>
      <c r="K346"/>
      <c r="L346"/>
      <c r="M346"/>
    </row>
    <row r="347" spans="1:13" hidden="1">
      <c r="A347"/>
      <c r="B347"/>
      <c r="C347"/>
      <c r="D347"/>
      <c r="F347"/>
      <c r="G347"/>
      <c r="H347"/>
      <c r="I347"/>
      <c r="J347"/>
      <c r="K347"/>
      <c r="L347"/>
      <c r="M347"/>
    </row>
    <row r="348" spans="1:13" hidden="1">
      <c r="A348"/>
      <c r="B348"/>
      <c r="C348"/>
      <c r="D348"/>
      <c r="F348"/>
      <c r="G348"/>
      <c r="H348"/>
      <c r="I348"/>
      <c r="J348"/>
      <c r="K348"/>
      <c r="L348"/>
      <c r="M348"/>
    </row>
    <row r="349" spans="1:13" hidden="1">
      <c r="A349"/>
      <c r="B349"/>
      <c r="C349"/>
      <c r="D349"/>
      <c r="F349"/>
      <c r="G349"/>
      <c r="H349"/>
      <c r="I349"/>
      <c r="J349"/>
      <c r="K349"/>
      <c r="L349"/>
      <c r="M349"/>
    </row>
    <row r="350" spans="1:13" hidden="1">
      <c r="A350"/>
      <c r="B350"/>
      <c r="C350"/>
      <c r="D350"/>
      <c r="F350"/>
      <c r="G350"/>
      <c r="H350"/>
      <c r="I350"/>
      <c r="J350"/>
      <c r="K350"/>
      <c r="L350"/>
      <c r="M350"/>
    </row>
    <row r="351" spans="1:13" hidden="1">
      <c r="A351"/>
      <c r="B351"/>
      <c r="C351"/>
      <c r="D351"/>
      <c r="F351"/>
      <c r="G351"/>
      <c r="H351"/>
      <c r="I351"/>
      <c r="J351"/>
      <c r="K351"/>
      <c r="L351"/>
      <c r="M351"/>
    </row>
    <row r="352" spans="1:13" hidden="1">
      <c r="A352"/>
      <c r="B352"/>
      <c r="C352"/>
      <c r="D352"/>
      <c r="F352"/>
      <c r="G352"/>
      <c r="H352"/>
      <c r="I352"/>
      <c r="J352"/>
      <c r="K352"/>
      <c r="L352"/>
      <c r="M352"/>
    </row>
    <row r="353" spans="1:13" hidden="1">
      <c r="A353"/>
      <c r="B353"/>
      <c r="C353"/>
      <c r="D353"/>
      <c r="F353"/>
      <c r="G353"/>
      <c r="H353"/>
      <c r="I353"/>
      <c r="J353"/>
      <c r="K353"/>
      <c r="L353"/>
      <c r="M353"/>
    </row>
    <row r="354" spans="1:13" hidden="1">
      <c r="A354"/>
      <c r="B354"/>
      <c r="C354"/>
      <c r="D354"/>
      <c r="F354"/>
      <c r="G354"/>
      <c r="H354"/>
      <c r="I354"/>
      <c r="J354"/>
      <c r="K354"/>
      <c r="L354"/>
      <c r="M354"/>
    </row>
    <row r="355" spans="1:13" hidden="1">
      <c r="A355"/>
      <c r="B355"/>
      <c r="C355"/>
      <c r="D355"/>
      <c r="F355"/>
      <c r="G355"/>
      <c r="H355"/>
      <c r="I355"/>
      <c r="J355"/>
      <c r="K355"/>
      <c r="L355"/>
      <c r="M355"/>
    </row>
    <row r="356" spans="1:13" hidden="1">
      <c r="A356"/>
      <c r="B356"/>
      <c r="C356"/>
      <c r="D356"/>
      <c r="F356"/>
      <c r="G356"/>
      <c r="H356"/>
      <c r="I356"/>
      <c r="J356"/>
      <c r="K356"/>
      <c r="L356"/>
      <c r="M356"/>
    </row>
    <row r="357" spans="1:13" hidden="1">
      <c r="A357"/>
      <c r="B357"/>
      <c r="C357"/>
      <c r="D357"/>
      <c r="F357"/>
      <c r="G357"/>
      <c r="H357"/>
      <c r="I357"/>
      <c r="J357"/>
      <c r="K357"/>
      <c r="L357"/>
      <c r="M357"/>
    </row>
    <row r="358" spans="1:13" hidden="1">
      <c r="A358"/>
      <c r="B358"/>
      <c r="C358"/>
      <c r="D358"/>
      <c r="F358"/>
      <c r="G358"/>
      <c r="H358"/>
      <c r="I358"/>
      <c r="J358"/>
      <c r="K358"/>
      <c r="L358"/>
      <c r="M358"/>
    </row>
    <row r="359" spans="1:13" hidden="1">
      <c r="A359"/>
      <c r="B359"/>
      <c r="C359"/>
      <c r="D359"/>
      <c r="F359"/>
      <c r="G359"/>
      <c r="H359"/>
      <c r="I359"/>
      <c r="J359"/>
      <c r="K359"/>
      <c r="L359"/>
      <c r="M359"/>
    </row>
    <row r="360" spans="1:13" hidden="1">
      <c r="A360"/>
      <c r="B360"/>
      <c r="C360"/>
      <c r="D360"/>
      <c r="F360"/>
      <c r="G360"/>
      <c r="H360"/>
      <c r="I360"/>
      <c r="J360"/>
      <c r="K360"/>
      <c r="L360"/>
      <c r="M360"/>
    </row>
    <row r="361" spans="1:13" hidden="1">
      <c r="A361"/>
      <c r="B361"/>
      <c r="C361"/>
      <c r="D361"/>
      <c r="F361"/>
      <c r="G361"/>
      <c r="H361"/>
      <c r="I361"/>
      <c r="J361"/>
      <c r="K361"/>
      <c r="L361"/>
      <c r="M361"/>
    </row>
    <row r="362" spans="1:13" hidden="1">
      <c r="A362"/>
      <c r="B362"/>
      <c r="C362"/>
      <c r="D362"/>
      <c r="F362"/>
      <c r="G362"/>
      <c r="H362"/>
      <c r="I362"/>
      <c r="J362"/>
      <c r="K362"/>
      <c r="L362"/>
      <c r="M362"/>
    </row>
    <row r="363" spans="1:13" hidden="1">
      <c r="A363"/>
      <c r="B363"/>
      <c r="C363"/>
      <c r="D363"/>
      <c r="F363"/>
      <c r="G363"/>
      <c r="H363"/>
      <c r="I363"/>
      <c r="J363"/>
      <c r="K363"/>
      <c r="L363"/>
      <c r="M363"/>
    </row>
    <row r="364" spans="1:13" hidden="1">
      <c r="A364"/>
      <c r="B364"/>
      <c r="C364"/>
      <c r="D364"/>
      <c r="F364"/>
      <c r="G364"/>
      <c r="H364"/>
      <c r="I364"/>
      <c r="J364"/>
      <c r="K364"/>
      <c r="L364"/>
      <c r="M364"/>
    </row>
    <row r="365" spans="1:13" hidden="1">
      <c r="A365"/>
      <c r="B365"/>
      <c r="C365"/>
      <c r="D365"/>
      <c r="F365"/>
      <c r="G365"/>
      <c r="H365"/>
      <c r="I365"/>
      <c r="J365"/>
      <c r="K365"/>
      <c r="L365"/>
      <c r="M365"/>
    </row>
    <row r="366" spans="1:13" hidden="1">
      <c r="A366"/>
      <c r="B366"/>
      <c r="C366"/>
      <c r="D366"/>
      <c r="F366"/>
      <c r="G366"/>
      <c r="H366"/>
      <c r="I366"/>
      <c r="J366"/>
      <c r="K366"/>
      <c r="L366"/>
      <c r="M366"/>
    </row>
    <row r="367" spans="1:13" hidden="1">
      <c r="A367"/>
      <c r="B367"/>
      <c r="C367"/>
      <c r="D367"/>
      <c r="F367"/>
      <c r="G367"/>
      <c r="H367"/>
      <c r="I367"/>
      <c r="J367"/>
      <c r="K367"/>
      <c r="L367"/>
      <c r="M367"/>
    </row>
    <row r="368" spans="1:13" hidden="1">
      <c r="A368"/>
      <c r="B368"/>
      <c r="C368"/>
      <c r="D368"/>
      <c r="F368"/>
      <c r="G368"/>
      <c r="H368"/>
      <c r="I368"/>
      <c r="J368"/>
      <c r="K368"/>
      <c r="L368"/>
      <c r="M368"/>
    </row>
    <row r="369" spans="1:13" hidden="1">
      <c r="A369"/>
      <c r="B369"/>
      <c r="C369"/>
      <c r="D369"/>
      <c r="F369"/>
      <c r="G369"/>
      <c r="H369"/>
      <c r="I369"/>
      <c r="J369"/>
      <c r="K369"/>
      <c r="L369"/>
      <c r="M369"/>
    </row>
    <row r="370" spans="1:13" hidden="1">
      <c r="A370"/>
      <c r="B370"/>
      <c r="C370"/>
      <c r="D370"/>
      <c r="F370"/>
      <c r="G370"/>
      <c r="H370"/>
      <c r="I370"/>
      <c r="J370"/>
      <c r="K370"/>
      <c r="L370"/>
      <c r="M370"/>
    </row>
    <row r="371" spans="1:13" hidden="1">
      <c r="A371"/>
      <c r="B371"/>
      <c r="C371"/>
      <c r="D371"/>
      <c r="F371"/>
      <c r="G371"/>
      <c r="H371"/>
      <c r="I371"/>
      <c r="J371"/>
      <c r="K371"/>
      <c r="L371"/>
      <c r="M371"/>
    </row>
    <row r="372" spans="1:13" hidden="1">
      <c r="A372"/>
      <c r="B372"/>
      <c r="C372"/>
      <c r="D372"/>
      <c r="F372"/>
      <c r="G372"/>
      <c r="H372"/>
      <c r="I372"/>
      <c r="J372"/>
      <c r="K372"/>
      <c r="L372"/>
      <c r="M372"/>
    </row>
    <row r="373" spans="1:13" hidden="1">
      <c r="A373"/>
      <c r="B373"/>
      <c r="C373"/>
      <c r="D373"/>
      <c r="F373"/>
      <c r="G373"/>
      <c r="H373"/>
      <c r="I373"/>
      <c r="J373"/>
      <c r="K373"/>
      <c r="L373"/>
      <c r="M373"/>
    </row>
    <row r="374" spans="1:13" hidden="1">
      <c r="A374"/>
      <c r="B374"/>
      <c r="C374"/>
      <c r="D374"/>
      <c r="F374"/>
      <c r="G374"/>
      <c r="H374"/>
      <c r="I374"/>
      <c r="J374"/>
      <c r="K374"/>
      <c r="L374"/>
      <c r="M374"/>
    </row>
    <row r="375" spans="1:13" hidden="1">
      <c r="A375"/>
      <c r="B375"/>
      <c r="C375"/>
      <c r="D375"/>
      <c r="F375"/>
      <c r="G375"/>
      <c r="H375"/>
      <c r="I375"/>
      <c r="J375"/>
      <c r="K375"/>
      <c r="L375"/>
      <c r="M375"/>
    </row>
    <row r="376" spans="1:13" hidden="1">
      <c r="A376"/>
      <c r="B376"/>
      <c r="C376"/>
      <c r="D376"/>
      <c r="F376"/>
      <c r="G376"/>
      <c r="H376"/>
      <c r="I376"/>
      <c r="J376"/>
      <c r="K376"/>
      <c r="L376"/>
      <c r="M376"/>
    </row>
    <row r="377" spans="1:13" hidden="1">
      <c r="A377"/>
      <c r="B377"/>
      <c r="C377"/>
      <c r="D377"/>
      <c r="F377"/>
      <c r="G377"/>
      <c r="H377"/>
      <c r="I377"/>
      <c r="J377"/>
      <c r="K377"/>
      <c r="L377"/>
      <c r="M377"/>
    </row>
    <row r="378" spans="1:13" hidden="1">
      <c r="A378"/>
      <c r="B378"/>
      <c r="C378"/>
      <c r="D378"/>
      <c r="F378"/>
      <c r="G378"/>
      <c r="H378"/>
      <c r="I378"/>
      <c r="J378"/>
      <c r="K378"/>
      <c r="L378"/>
      <c r="M378"/>
    </row>
    <row r="379" spans="1:13" hidden="1">
      <c r="A379"/>
      <c r="B379"/>
      <c r="C379"/>
      <c r="D379"/>
      <c r="F379"/>
      <c r="G379"/>
      <c r="H379"/>
      <c r="I379"/>
      <c r="J379"/>
      <c r="K379"/>
      <c r="L379"/>
      <c r="M379"/>
    </row>
    <row r="380" spans="1:13" hidden="1">
      <c r="A380"/>
      <c r="B380"/>
      <c r="C380"/>
      <c r="D380"/>
      <c r="F380"/>
      <c r="G380"/>
      <c r="H380"/>
      <c r="I380"/>
      <c r="J380"/>
      <c r="K380"/>
      <c r="L380"/>
      <c r="M380"/>
    </row>
    <row r="381" spans="1:13" hidden="1">
      <c r="A381"/>
      <c r="B381"/>
      <c r="C381"/>
      <c r="D381"/>
      <c r="F381"/>
      <c r="G381"/>
      <c r="H381"/>
      <c r="I381"/>
      <c r="J381"/>
      <c r="K381"/>
      <c r="L381"/>
      <c r="M381"/>
    </row>
    <row r="382" spans="1:13" hidden="1">
      <c r="A382"/>
      <c r="B382"/>
      <c r="C382"/>
      <c r="D382"/>
      <c r="F382"/>
      <c r="G382"/>
      <c r="H382"/>
      <c r="I382"/>
      <c r="J382"/>
      <c r="K382"/>
      <c r="L382"/>
      <c r="M382"/>
    </row>
    <row r="383" spans="1:13" hidden="1">
      <c r="A383"/>
      <c r="B383"/>
      <c r="C383"/>
      <c r="D383"/>
      <c r="F383"/>
      <c r="G383"/>
      <c r="H383"/>
      <c r="I383"/>
      <c r="J383"/>
      <c r="K383"/>
      <c r="L383"/>
      <c r="M383"/>
    </row>
    <row r="384" spans="1:13" hidden="1">
      <c r="A384"/>
      <c r="B384"/>
      <c r="C384"/>
      <c r="D384"/>
      <c r="F384"/>
      <c r="G384"/>
      <c r="H384"/>
      <c r="I384"/>
      <c r="J384"/>
      <c r="K384"/>
      <c r="L384"/>
      <c r="M384"/>
    </row>
    <row r="385" spans="1:13" hidden="1">
      <c r="A385"/>
      <c r="B385"/>
      <c r="C385"/>
      <c r="D385"/>
      <c r="F385"/>
      <c r="G385"/>
      <c r="H385"/>
      <c r="I385"/>
      <c r="J385"/>
      <c r="K385"/>
      <c r="L385"/>
      <c r="M385"/>
    </row>
    <row r="386" spans="1:13" hidden="1">
      <c r="A386"/>
      <c r="B386"/>
      <c r="C386"/>
      <c r="D386"/>
      <c r="F386"/>
      <c r="G386"/>
      <c r="H386"/>
      <c r="I386"/>
      <c r="J386"/>
      <c r="K386"/>
      <c r="L386"/>
      <c r="M386"/>
    </row>
    <row r="387" spans="1:13" hidden="1">
      <c r="A387"/>
      <c r="B387"/>
      <c r="C387"/>
      <c r="D387"/>
      <c r="F387"/>
      <c r="G387"/>
      <c r="H387"/>
      <c r="I387"/>
      <c r="J387"/>
      <c r="K387"/>
      <c r="L387"/>
      <c r="M387"/>
    </row>
    <row r="388" spans="1:13" hidden="1">
      <c r="A388"/>
      <c r="B388"/>
      <c r="C388"/>
      <c r="D388"/>
      <c r="F388"/>
      <c r="G388"/>
      <c r="H388"/>
      <c r="I388"/>
      <c r="J388"/>
      <c r="K388"/>
      <c r="L388"/>
      <c r="M388"/>
    </row>
    <row r="389" spans="1:13" hidden="1">
      <c r="A389"/>
      <c r="B389"/>
      <c r="C389"/>
      <c r="D389"/>
      <c r="F389"/>
      <c r="G389"/>
      <c r="H389"/>
      <c r="I389"/>
      <c r="J389"/>
      <c r="K389"/>
      <c r="L389"/>
      <c r="M389"/>
    </row>
    <row r="390" spans="1:13" hidden="1">
      <c r="A390"/>
      <c r="B390"/>
      <c r="C390"/>
      <c r="D390"/>
      <c r="F390"/>
      <c r="G390"/>
      <c r="H390"/>
      <c r="I390"/>
      <c r="J390"/>
      <c r="K390"/>
      <c r="L390"/>
      <c r="M390"/>
    </row>
    <row r="391" spans="1:13" hidden="1">
      <c r="A391"/>
      <c r="B391"/>
      <c r="C391"/>
      <c r="D391"/>
      <c r="F391"/>
      <c r="G391"/>
      <c r="H391"/>
      <c r="I391"/>
      <c r="J391"/>
      <c r="K391"/>
      <c r="L391"/>
      <c r="M391"/>
    </row>
    <row r="392" spans="1:13" hidden="1">
      <c r="A392"/>
      <c r="B392"/>
      <c r="C392"/>
      <c r="D392"/>
      <c r="F392"/>
      <c r="G392"/>
      <c r="H392"/>
      <c r="I392"/>
      <c r="J392"/>
      <c r="K392"/>
      <c r="L392"/>
      <c r="M392"/>
    </row>
    <row r="393" spans="1:13" hidden="1">
      <c r="A393"/>
      <c r="B393"/>
      <c r="C393"/>
      <c r="D393"/>
      <c r="F393"/>
      <c r="G393"/>
      <c r="H393"/>
      <c r="I393"/>
      <c r="J393"/>
      <c r="K393"/>
      <c r="L393"/>
      <c r="M393"/>
    </row>
    <row r="394" spans="1:13" hidden="1">
      <c r="A394"/>
      <c r="B394"/>
      <c r="C394"/>
      <c r="D394"/>
      <c r="F394"/>
      <c r="G394"/>
      <c r="H394"/>
      <c r="I394"/>
      <c r="J394"/>
      <c r="K394"/>
      <c r="L394"/>
      <c r="M394"/>
    </row>
    <row r="395" spans="1:13" hidden="1">
      <c r="A395"/>
      <c r="B395"/>
      <c r="C395"/>
      <c r="D395"/>
      <c r="F395"/>
      <c r="G395"/>
      <c r="H395"/>
      <c r="I395"/>
      <c r="J395"/>
      <c r="K395"/>
      <c r="L395"/>
      <c r="M395"/>
    </row>
    <row r="396" spans="1:13" hidden="1">
      <c r="A396"/>
      <c r="B396"/>
      <c r="C396"/>
      <c r="D396"/>
      <c r="F396"/>
      <c r="G396"/>
      <c r="H396"/>
      <c r="I396"/>
      <c r="J396"/>
      <c r="K396"/>
      <c r="L396"/>
      <c r="M396"/>
    </row>
    <row r="397" spans="1:13" hidden="1">
      <c r="A397"/>
      <c r="B397"/>
      <c r="C397"/>
      <c r="D397"/>
      <c r="F397"/>
      <c r="G397"/>
      <c r="H397"/>
      <c r="I397"/>
      <c r="J397"/>
      <c r="K397"/>
      <c r="L397"/>
      <c r="M397"/>
    </row>
    <row r="398" spans="1:13" hidden="1">
      <c r="A398"/>
      <c r="B398"/>
      <c r="C398"/>
      <c r="D398"/>
      <c r="F398"/>
      <c r="G398"/>
      <c r="H398"/>
      <c r="I398"/>
      <c r="J398"/>
      <c r="K398"/>
      <c r="L398"/>
      <c r="M398"/>
    </row>
    <row r="399" spans="1:13" hidden="1">
      <c r="A399"/>
      <c r="B399"/>
      <c r="C399"/>
      <c r="D399"/>
      <c r="F399"/>
      <c r="G399"/>
      <c r="H399"/>
      <c r="I399"/>
      <c r="J399"/>
      <c r="K399"/>
      <c r="L399"/>
      <c r="M399"/>
    </row>
    <row r="400" spans="1:13" hidden="1">
      <c r="A400"/>
      <c r="B400"/>
      <c r="C400"/>
      <c r="D400"/>
      <c r="F400"/>
      <c r="G400"/>
      <c r="H400"/>
      <c r="I400"/>
      <c r="J400"/>
      <c r="K400"/>
      <c r="L400"/>
      <c r="M400"/>
    </row>
    <row r="401" spans="1:13" hidden="1">
      <c r="A401"/>
      <c r="B401"/>
      <c r="C401"/>
      <c r="D401"/>
      <c r="F401"/>
      <c r="G401"/>
      <c r="H401"/>
      <c r="I401"/>
      <c r="J401"/>
      <c r="K401"/>
      <c r="L401"/>
      <c r="M401"/>
    </row>
    <row r="402" spans="1:13" hidden="1">
      <c r="A402"/>
      <c r="B402"/>
      <c r="C402"/>
      <c r="D402"/>
      <c r="F402"/>
      <c r="G402"/>
      <c r="H402"/>
      <c r="I402"/>
      <c r="J402"/>
      <c r="K402"/>
      <c r="L402"/>
      <c r="M402"/>
    </row>
    <row r="403" spans="1:13" hidden="1">
      <c r="A403"/>
      <c r="B403"/>
      <c r="C403"/>
      <c r="D403"/>
      <c r="F403"/>
      <c r="G403"/>
      <c r="H403"/>
      <c r="I403"/>
      <c r="J403"/>
      <c r="K403"/>
      <c r="L403"/>
      <c r="M403"/>
    </row>
    <row r="404" spans="1:13" hidden="1">
      <c r="A404"/>
      <c r="B404"/>
      <c r="C404"/>
      <c r="D404"/>
      <c r="F404"/>
      <c r="G404"/>
      <c r="H404"/>
      <c r="I404"/>
      <c r="J404"/>
      <c r="K404"/>
      <c r="L404"/>
      <c r="M404"/>
    </row>
    <row r="405" spans="1:13" hidden="1">
      <c r="A405"/>
      <c r="B405"/>
      <c r="C405"/>
      <c r="D405"/>
      <c r="F405"/>
      <c r="G405"/>
      <c r="H405"/>
      <c r="I405"/>
      <c r="J405"/>
      <c r="K405"/>
      <c r="L405"/>
      <c r="M405"/>
    </row>
    <row r="406" spans="1:13" hidden="1">
      <c r="A406"/>
      <c r="B406"/>
      <c r="C406"/>
      <c r="D406"/>
      <c r="F406"/>
      <c r="G406"/>
      <c r="H406"/>
      <c r="I406"/>
      <c r="J406"/>
      <c r="K406"/>
      <c r="L406"/>
      <c r="M406"/>
    </row>
    <row r="407" spans="1:13" hidden="1">
      <c r="A407"/>
      <c r="B407"/>
      <c r="C407"/>
      <c r="D407"/>
      <c r="F407"/>
      <c r="G407"/>
      <c r="H407"/>
      <c r="I407"/>
      <c r="J407"/>
      <c r="K407"/>
      <c r="L407"/>
      <c r="M407"/>
    </row>
    <row r="408" spans="1:13" hidden="1">
      <c r="A408"/>
      <c r="B408"/>
      <c r="C408"/>
      <c r="D408"/>
      <c r="F408"/>
      <c r="G408"/>
      <c r="H408"/>
      <c r="I408"/>
      <c r="J408"/>
      <c r="K408"/>
      <c r="L408"/>
      <c r="M408"/>
    </row>
    <row r="409" spans="1:13" hidden="1">
      <c r="A409"/>
      <c r="B409"/>
      <c r="C409"/>
      <c r="D409"/>
      <c r="F409"/>
      <c r="G409"/>
      <c r="H409"/>
      <c r="I409"/>
      <c r="J409"/>
      <c r="K409"/>
      <c r="L409"/>
      <c r="M409"/>
    </row>
    <row r="410" spans="1:13" hidden="1">
      <c r="A410"/>
      <c r="B410"/>
      <c r="C410"/>
      <c r="D410"/>
      <c r="F410"/>
      <c r="G410"/>
      <c r="H410"/>
      <c r="I410"/>
      <c r="J410"/>
      <c r="K410"/>
      <c r="L410"/>
      <c r="M410"/>
    </row>
    <row r="411" spans="1:13" hidden="1">
      <c r="A411"/>
      <c r="B411"/>
      <c r="C411"/>
      <c r="D411"/>
      <c r="F411"/>
      <c r="G411"/>
      <c r="H411"/>
      <c r="I411"/>
      <c r="J411"/>
      <c r="K411"/>
      <c r="L411"/>
      <c r="M411"/>
    </row>
    <row r="412" spans="1:13" hidden="1">
      <c r="A412"/>
      <c r="B412"/>
      <c r="C412"/>
      <c r="D412"/>
      <c r="F412"/>
      <c r="G412"/>
      <c r="H412"/>
      <c r="I412"/>
      <c r="J412"/>
      <c r="K412"/>
      <c r="L412"/>
      <c r="M412"/>
    </row>
    <row r="413" spans="1:13" hidden="1">
      <c r="A413"/>
      <c r="B413"/>
      <c r="C413"/>
      <c r="D413"/>
      <c r="F413"/>
      <c r="G413"/>
      <c r="H413"/>
      <c r="I413"/>
      <c r="J413"/>
      <c r="K413"/>
      <c r="L413"/>
      <c r="M413"/>
    </row>
    <row r="414" spans="1:13" hidden="1">
      <c r="A414"/>
      <c r="B414"/>
      <c r="C414"/>
      <c r="D414"/>
      <c r="F414"/>
      <c r="G414"/>
      <c r="H414"/>
      <c r="I414"/>
      <c r="J414"/>
      <c r="K414"/>
      <c r="L414"/>
      <c r="M414"/>
    </row>
    <row r="415" spans="1:13" hidden="1">
      <c r="A415"/>
      <c r="B415"/>
      <c r="C415"/>
      <c r="D415"/>
      <c r="F415"/>
      <c r="G415"/>
      <c r="H415"/>
      <c r="I415"/>
      <c r="J415"/>
      <c r="K415"/>
      <c r="L415"/>
      <c r="M415"/>
    </row>
    <row r="416" spans="1:13" hidden="1">
      <c r="A416"/>
      <c r="B416"/>
      <c r="C416"/>
      <c r="D416"/>
      <c r="F416"/>
      <c r="G416"/>
      <c r="H416"/>
      <c r="I416"/>
      <c r="J416"/>
      <c r="K416"/>
      <c r="L416"/>
      <c r="M416"/>
    </row>
    <row r="417" spans="1:13" hidden="1">
      <c r="A417"/>
      <c r="B417"/>
      <c r="C417"/>
      <c r="D417"/>
      <c r="F417"/>
      <c r="G417"/>
      <c r="H417"/>
      <c r="I417"/>
      <c r="J417"/>
      <c r="K417"/>
      <c r="L417"/>
      <c r="M417"/>
    </row>
    <row r="418" spans="1:13" hidden="1">
      <c r="A418"/>
      <c r="B418"/>
      <c r="C418"/>
      <c r="D418"/>
      <c r="F418"/>
      <c r="G418"/>
      <c r="H418"/>
      <c r="I418"/>
      <c r="J418"/>
      <c r="K418"/>
      <c r="L418"/>
      <c r="M418"/>
    </row>
    <row r="419" spans="1:13" hidden="1">
      <c r="A419"/>
      <c r="B419"/>
      <c r="C419"/>
      <c r="D419"/>
      <c r="F419"/>
      <c r="G419"/>
      <c r="H419"/>
      <c r="I419"/>
      <c r="J419"/>
      <c r="K419"/>
      <c r="L419"/>
      <c r="M419"/>
    </row>
    <row r="420" spans="1:13" hidden="1">
      <c r="A420"/>
      <c r="B420"/>
      <c r="C420"/>
      <c r="D420"/>
      <c r="F420"/>
      <c r="G420"/>
      <c r="H420"/>
      <c r="I420"/>
      <c r="J420"/>
      <c r="K420"/>
      <c r="L420"/>
      <c r="M420"/>
    </row>
    <row r="421" spans="1:13" hidden="1">
      <c r="A421"/>
      <c r="B421"/>
      <c r="C421"/>
      <c r="D421"/>
      <c r="F421"/>
      <c r="G421"/>
      <c r="H421"/>
      <c r="I421"/>
      <c r="J421"/>
      <c r="K421"/>
      <c r="L421"/>
      <c r="M421"/>
    </row>
    <row r="422" spans="1:13" hidden="1">
      <c r="A422"/>
      <c r="B422"/>
      <c r="C422"/>
      <c r="D422"/>
      <c r="F422"/>
      <c r="G422"/>
      <c r="H422"/>
      <c r="I422"/>
      <c r="J422"/>
      <c r="K422"/>
      <c r="L422"/>
      <c r="M422"/>
    </row>
    <row r="423" spans="1:13" hidden="1">
      <c r="A423"/>
      <c r="B423"/>
      <c r="C423"/>
      <c r="D423"/>
      <c r="F423"/>
      <c r="G423"/>
      <c r="H423"/>
      <c r="I423"/>
      <c r="J423"/>
      <c r="K423"/>
      <c r="L423"/>
      <c r="M423"/>
    </row>
    <row r="424" spans="1:13" hidden="1">
      <c r="A424"/>
      <c r="B424"/>
      <c r="C424"/>
      <c r="D424"/>
      <c r="F424"/>
      <c r="G424"/>
      <c r="H424"/>
      <c r="I424"/>
      <c r="J424"/>
      <c r="K424"/>
      <c r="L424"/>
      <c r="M424"/>
    </row>
    <row r="425" spans="1:13" hidden="1">
      <c r="A425"/>
      <c r="B425"/>
      <c r="C425"/>
      <c r="D425"/>
      <c r="F425"/>
      <c r="G425"/>
      <c r="H425"/>
      <c r="I425"/>
      <c r="J425"/>
      <c r="K425"/>
      <c r="L425"/>
      <c r="M425"/>
    </row>
    <row r="426" spans="1:13" hidden="1">
      <c r="A426"/>
      <c r="B426"/>
      <c r="C426"/>
      <c r="D426"/>
      <c r="F426"/>
      <c r="G426"/>
      <c r="H426"/>
      <c r="I426"/>
      <c r="J426"/>
      <c r="K426"/>
      <c r="L426"/>
      <c r="M426"/>
    </row>
    <row r="427" spans="1:13" hidden="1">
      <c r="A427"/>
      <c r="B427"/>
      <c r="C427"/>
      <c r="D427"/>
      <c r="F427"/>
      <c r="G427"/>
      <c r="H427"/>
      <c r="I427"/>
      <c r="J427"/>
      <c r="K427"/>
      <c r="L427"/>
      <c r="M427"/>
    </row>
    <row r="428" spans="1:13" hidden="1">
      <c r="A428"/>
      <c r="B428"/>
      <c r="C428"/>
      <c r="D428"/>
      <c r="F428"/>
      <c r="G428"/>
      <c r="H428"/>
      <c r="I428"/>
      <c r="J428"/>
      <c r="K428"/>
      <c r="L428"/>
      <c r="M428"/>
    </row>
    <row r="429" spans="1:13" hidden="1">
      <c r="A429"/>
      <c r="B429"/>
      <c r="C429"/>
      <c r="D429"/>
      <c r="F429"/>
      <c r="G429"/>
      <c r="H429"/>
      <c r="I429"/>
      <c r="J429"/>
      <c r="K429"/>
      <c r="L429"/>
      <c r="M429"/>
    </row>
    <row r="430" spans="1:13" hidden="1">
      <c r="A430"/>
      <c r="B430"/>
      <c r="C430"/>
      <c r="D430"/>
      <c r="F430"/>
      <c r="G430"/>
      <c r="H430"/>
      <c r="I430"/>
      <c r="J430"/>
      <c r="K430"/>
      <c r="L430"/>
      <c r="M430"/>
    </row>
    <row r="431" spans="1:13" hidden="1">
      <c r="A431"/>
      <c r="B431"/>
      <c r="C431"/>
      <c r="D431"/>
      <c r="F431"/>
      <c r="G431"/>
      <c r="H431"/>
      <c r="I431"/>
      <c r="J431"/>
      <c r="K431"/>
      <c r="L431"/>
      <c r="M431"/>
    </row>
    <row r="432" spans="1:13" hidden="1">
      <c r="A432"/>
      <c r="B432"/>
      <c r="C432"/>
      <c r="D432"/>
      <c r="F432"/>
      <c r="G432"/>
      <c r="H432"/>
      <c r="I432"/>
      <c r="J432"/>
      <c r="K432"/>
      <c r="L432"/>
      <c r="M432"/>
    </row>
    <row r="433" spans="1:13" hidden="1">
      <c r="A433"/>
      <c r="B433"/>
      <c r="C433"/>
      <c r="D433"/>
      <c r="F433"/>
      <c r="G433"/>
      <c r="H433"/>
      <c r="I433"/>
      <c r="J433"/>
      <c r="K433"/>
      <c r="L433"/>
      <c r="M433"/>
    </row>
    <row r="434" spans="1:13" hidden="1">
      <c r="A434"/>
      <c r="B434"/>
      <c r="C434"/>
      <c r="D434"/>
      <c r="F434"/>
      <c r="G434"/>
      <c r="H434"/>
      <c r="I434"/>
      <c r="J434"/>
      <c r="K434"/>
      <c r="L434"/>
      <c r="M434"/>
    </row>
    <row r="435" spans="1:13" hidden="1">
      <c r="A435"/>
      <c r="B435"/>
      <c r="C435"/>
      <c r="D435"/>
      <c r="F435"/>
      <c r="G435"/>
      <c r="H435"/>
      <c r="I435"/>
      <c r="J435"/>
      <c r="K435"/>
      <c r="L435"/>
      <c r="M435"/>
    </row>
    <row r="436" spans="1:13" hidden="1">
      <c r="A436"/>
      <c r="B436"/>
      <c r="C436"/>
      <c r="D436"/>
      <c r="F436"/>
      <c r="G436"/>
      <c r="H436"/>
      <c r="I436"/>
      <c r="J436"/>
      <c r="K436"/>
      <c r="L436"/>
      <c r="M436"/>
    </row>
    <row r="437" spans="1:13" hidden="1">
      <c r="A437"/>
      <c r="B437"/>
      <c r="C437"/>
      <c r="D437"/>
      <c r="F437"/>
      <c r="G437"/>
      <c r="H437"/>
      <c r="I437"/>
      <c r="J437"/>
      <c r="K437"/>
      <c r="L437"/>
      <c r="M437"/>
    </row>
    <row r="438" spans="1:13" hidden="1">
      <c r="A438"/>
      <c r="B438"/>
      <c r="C438"/>
      <c r="D438"/>
      <c r="F438"/>
      <c r="G438"/>
      <c r="H438"/>
      <c r="I438"/>
      <c r="J438"/>
      <c r="K438"/>
      <c r="L438"/>
      <c r="M438"/>
    </row>
    <row r="439" spans="1:13" hidden="1">
      <c r="A439"/>
      <c r="B439"/>
      <c r="C439"/>
      <c r="D439"/>
      <c r="F439"/>
      <c r="G439"/>
      <c r="H439"/>
      <c r="I439"/>
      <c r="J439"/>
      <c r="K439"/>
      <c r="L439"/>
      <c r="M439"/>
    </row>
    <row r="440" spans="1:13" hidden="1">
      <c r="A440"/>
      <c r="B440"/>
      <c r="C440"/>
      <c r="D440"/>
      <c r="F440"/>
      <c r="G440"/>
      <c r="H440"/>
      <c r="I440"/>
      <c r="J440"/>
      <c r="K440"/>
      <c r="L440"/>
      <c r="M440"/>
    </row>
    <row r="441" spans="1:13" hidden="1">
      <c r="A441"/>
      <c r="B441"/>
      <c r="C441"/>
      <c r="D441"/>
      <c r="F441"/>
      <c r="G441"/>
      <c r="H441"/>
      <c r="I441"/>
      <c r="J441"/>
      <c r="K441"/>
      <c r="L441"/>
      <c r="M441"/>
    </row>
    <row r="442" spans="1:13" hidden="1">
      <c r="A442"/>
      <c r="B442"/>
      <c r="C442"/>
      <c r="D442"/>
      <c r="F442"/>
      <c r="G442"/>
      <c r="H442"/>
      <c r="I442"/>
      <c r="J442"/>
      <c r="K442"/>
      <c r="L442"/>
      <c r="M442"/>
    </row>
    <row r="443" spans="1:13" hidden="1">
      <c r="A443"/>
      <c r="B443"/>
      <c r="C443"/>
      <c r="D443"/>
      <c r="F443"/>
      <c r="G443"/>
      <c r="H443"/>
      <c r="I443"/>
      <c r="J443"/>
      <c r="K443"/>
      <c r="L443"/>
      <c r="M443"/>
    </row>
    <row r="444" spans="1:13" hidden="1">
      <c r="A444"/>
      <c r="B444"/>
      <c r="C444"/>
      <c r="D444"/>
      <c r="F444"/>
      <c r="G444"/>
      <c r="H444"/>
      <c r="I444"/>
      <c r="J444"/>
      <c r="K444"/>
      <c r="L444"/>
      <c r="M444"/>
    </row>
    <row r="445" spans="1:13" hidden="1">
      <c r="A445"/>
      <c r="B445"/>
      <c r="C445"/>
      <c r="D445"/>
      <c r="F445"/>
      <c r="G445"/>
      <c r="H445"/>
      <c r="I445"/>
      <c r="J445"/>
      <c r="K445"/>
      <c r="L445"/>
      <c r="M445"/>
    </row>
    <row r="446" spans="1:13" hidden="1">
      <c r="A446"/>
      <c r="B446"/>
      <c r="C446"/>
      <c r="D446"/>
      <c r="F446"/>
      <c r="G446"/>
      <c r="H446"/>
      <c r="I446"/>
      <c r="J446"/>
      <c r="K446"/>
      <c r="L446"/>
      <c r="M446"/>
    </row>
    <row r="447" spans="1:13" hidden="1">
      <c r="A447"/>
      <c r="B447"/>
      <c r="C447"/>
      <c r="D447"/>
      <c r="F447"/>
      <c r="G447"/>
      <c r="H447"/>
      <c r="I447"/>
      <c r="J447"/>
      <c r="K447"/>
      <c r="L447"/>
      <c r="M447"/>
    </row>
    <row r="448" spans="1:13" hidden="1">
      <c r="A448"/>
      <c r="B448"/>
      <c r="C448"/>
      <c r="D448"/>
      <c r="F448"/>
      <c r="G448"/>
      <c r="H448"/>
      <c r="I448"/>
      <c r="J448"/>
      <c r="K448"/>
      <c r="L448"/>
      <c r="M448"/>
    </row>
    <row r="449" spans="1:13" hidden="1">
      <c r="A449"/>
      <c r="B449"/>
      <c r="C449"/>
      <c r="D449"/>
      <c r="F449"/>
      <c r="G449"/>
      <c r="H449"/>
      <c r="I449"/>
      <c r="J449"/>
      <c r="K449"/>
      <c r="L449"/>
      <c r="M449"/>
    </row>
    <row r="450" spans="1:13" hidden="1">
      <c r="A450"/>
      <c r="B450"/>
      <c r="C450"/>
      <c r="D450"/>
      <c r="F450"/>
      <c r="G450"/>
      <c r="H450"/>
      <c r="I450"/>
      <c r="J450"/>
      <c r="K450"/>
      <c r="L450"/>
      <c r="M450"/>
    </row>
    <row r="451" spans="1:13" hidden="1">
      <c r="A451"/>
      <c r="B451"/>
      <c r="C451"/>
      <c r="D451"/>
      <c r="F451"/>
      <c r="G451"/>
      <c r="H451"/>
      <c r="I451"/>
      <c r="J451"/>
      <c r="K451"/>
      <c r="L451"/>
      <c r="M451"/>
    </row>
    <row r="452" spans="1:13" hidden="1">
      <c r="A452"/>
      <c r="B452"/>
      <c r="C452"/>
      <c r="D452"/>
      <c r="F452"/>
      <c r="G452"/>
      <c r="H452"/>
      <c r="I452"/>
      <c r="J452"/>
      <c r="K452"/>
      <c r="L452"/>
      <c r="M452"/>
    </row>
    <row r="453" spans="1:13" hidden="1">
      <c r="A453"/>
      <c r="B453"/>
      <c r="C453"/>
      <c r="D453"/>
      <c r="F453"/>
      <c r="G453"/>
      <c r="H453"/>
      <c r="I453"/>
      <c r="J453"/>
      <c r="K453"/>
      <c r="L453"/>
      <c r="M453"/>
    </row>
    <row r="454" spans="1:13" hidden="1">
      <c r="A454"/>
      <c r="B454"/>
      <c r="C454"/>
      <c r="D454"/>
      <c r="F454"/>
      <c r="G454"/>
      <c r="H454"/>
      <c r="I454"/>
      <c r="J454"/>
      <c r="K454"/>
      <c r="L454"/>
      <c r="M454"/>
    </row>
    <row r="455" spans="1:13" hidden="1">
      <c r="A455"/>
      <c r="B455"/>
      <c r="C455"/>
      <c r="D455"/>
      <c r="F455"/>
      <c r="G455"/>
      <c r="H455"/>
      <c r="I455"/>
      <c r="J455"/>
      <c r="K455"/>
      <c r="L455"/>
      <c r="M455"/>
    </row>
    <row r="456" spans="1:13" hidden="1">
      <c r="A456"/>
      <c r="B456"/>
      <c r="C456"/>
      <c r="D456"/>
      <c r="F456"/>
      <c r="G456"/>
      <c r="H456"/>
      <c r="I456"/>
      <c r="J456"/>
      <c r="K456"/>
      <c r="L456"/>
      <c r="M456"/>
    </row>
    <row r="457" spans="1:13" hidden="1">
      <c r="A457"/>
      <c r="B457"/>
      <c r="C457"/>
      <c r="D457"/>
      <c r="F457"/>
      <c r="G457"/>
      <c r="H457"/>
      <c r="I457"/>
      <c r="J457"/>
      <c r="K457"/>
      <c r="L457"/>
      <c r="M457"/>
    </row>
    <row r="458" spans="1:13" hidden="1">
      <c r="A458"/>
      <c r="B458"/>
      <c r="C458"/>
      <c r="D458"/>
      <c r="F458"/>
      <c r="G458"/>
      <c r="H458"/>
      <c r="I458"/>
      <c r="J458"/>
      <c r="K458"/>
      <c r="L458"/>
      <c r="M458"/>
    </row>
    <row r="459" spans="1:13" hidden="1">
      <c r="A459"/>
      <c r="B459"/>
      <c r="C459"/>
      <c r="D459"/>
      <c r="F459"/>
      <c r="G459"/>
      <c r="H459"/>
      <c r="I459"/>
      <c r="J459"/>
      <c r="K459"/>
      <c r="L459"/>
      <c r="M459"/>
    </row>
    <row r="460" spans="1:13" hidden="1">
      <c r="A460"/>
      <c r="B460"/>
      <c r="C460"/>
      <c r="D460"/>
      <c r="F460"/>
      <c r="G460"/>
      <c r="H460"/>
      <c r="I460"/>
      <c r="J460"/>
      <c r="K460"/>
      <c r="L460"/>
      <c r="M460"/>
    </row>
    <row r="461" spans="1:13" hidden="1">
      <c r="A461"/>
      <c r="B461"/>
      <c r="C461"/>
      <c r="D461"/>
      <c r="F461"/>
      <c r="G461"/>
      <c r="H461"/>
      <c r="I461"/>
      <c r="J461"/>
      <c r="K461"/>
      <c r="L461"/>
      <c r="M461"/>
    </row>
    <row r="462" spans="1:13" hidden="1">
      <c r="A462"/>
      <c r="B462"/>
      <c r="C462"/>
      <c r="D462"/>
      <c r="F462"/>
      <c r="G462"/>
      <c r="H462"/>
      <c r="I462"/>
      <c r="J462"/>
      <c r="K462"/>
      <c r="L462"/>
      <c r="M462"/>
    </row>
    <row r="463" spans="1:13" hidden="1">
      <c r="A463"/>
      <c r="B463"/>
      <c r="C463"/>
      <c r="D463"/>
      <c r="F463"/>
      <c r="G463"/>
      <c r="H463"/>
      <c r="I463"/>
      <c r="J463"/>
      <c r="K463"/>
      <c r="L463"/>
      <c r="M463"/>
    </row>
    <row r="464" spans="1:13" hidden="1">
      <c r="A464"/>
      <c r="B464"/>
      <c r="C464"/>
      <c r="D464"/>
      <c r="F464"/>
      <c r="G464"/>
      <c r="H464"/>
      <c r="I464"/>
      <c r="J464"/>
      <c r="K464"/>
      <c r="L464"/>
      <c r="M464"/>
    </row>
    <row r="465" spans="1:13" hidden="1">
      <c r="A465"/>
      <c r="B465"/>
      <c r="C465"/>
      <c r="D465"/>
      <c r="F465"/>
      <c r="G465"/>
      <c r="H465"/>
      <c r="I465"/>
      <c r="J465"/>
      <c r="K465"/>
      <c r="L465"/>
      <c r="M465"/>
    </row>
    <row r="466" spans="1:13" hidden="1">
      <c r="A466"/>
      <c r="B466"/>
      <c r="C466"/>
      <c r="D466"/>
      <c r="F466"/>
      <c r="G466"/>
      <c r="H466"/>
      <c r="I466"/>
      <c r="J466"/>
      <c r="K466"/>
      <c r="L466"/>
      <c r="M466"/>
    </row>
    <row r="467" spans="1:13" hidden="1">
      <c r="A467"/>
      <c r="B467"/>
      <c r="C467"/>
      <c r="D467"/>
      <c r="F467"/>
      <c r="G467"/>
      <c r="H467"/>
      <c r="I467"/>
      <c r="J467"/>
      <c r="K467"/>
      <c r="L467"/>
      <c r="M467"/>
    </row>
    <row r="468" spans="1:13" hidden="1">
      <c r="A468"/>
      <c r="B468"/>
      <c r="C468"/>
      <c r="D468"/>
      <c r="F468"/>
      <c r="G468"/>
      <c r="H468"/>
      <c r="I468"/>
      <c r="J468"/>
      <c r="K468"/>
      <c r="L468"/>
      <c r="M468"/>
    </row>
    <row r="469" spans="1:13" hidden="1">
      <c r="A469"/>
      <c r="B469"/>
      <c r="C469"/>
      <c r="D469"/>
      <c r="F469"/>
      <c r="G469"/>
      <c r="H469"/>
      <c r="I469"/>
      <c r="J469"/>
      <c r="K469"/>
      <c r="L469"/>
      <c r="M469"/>
    </row>
    <row r="470" spans="1:13" hidden="1">
      <c r="A470"/>
      <c r="B470"/>
      <c r="C470"/>
      <c r="D470"/>
      <c r="F470"/>
      <c r="G470"/>
      <c r="H470"/>
      <c r="I470"/>
      <c r="J470"/>
      <c r="K470"/>
      <c r="L470"/>
      <c r="M470"/>
    </row>
    <row r="471" spans="1:13" hidden="1">
      <c r="A471"/>
      <c r="B471"/>
      <c r="C471"/>
      <c r="D471"/>
      <c r="F471"/>
      <c r="G471"/>
      <c r="H471"/>
      <c r="I471"/>
      <c r="J471"/>
      <c r="K471"/>
      <c r="L471"/>
      <c r="M471"/>
    </row>
    <row r="472" spans="1:13" hidden="1">
      <c r="A472"/>
      <c r="B472"/>
      <c r="C472"/>
      <c r="D472"/>
      <c r="F472"/>
      <c r="G472"/>
      <c r="H472"/>
      <c r="I472"/>
      <c r="J472"/>
      <c r="K472"/>
      <c r="L472"/>
      <c r="M472"/>
    </row>
    <row r="473" spans="1:13" hidden="1">
      <c r="A473"/>
      <c r="B473"/>
      <c r="C473"/>
      <c r="D473"/>
      <c r="F473"/>
      <c r="G473"/>
      <c r="H473"/>
      <c r="I473"/>
      <c r="J473"/>
      <c r="K473"/>
      <c r="L473"/>
      <c r="M473"/>
    </row>
    <row r="474" spans="1:13" hidden="1">
      <c r="A474"/>
      <c r="B474"/>
      <c r="C474"/>
      <c r="D474"/>
      <c r="F474"/>
      <c r="G474"/>
      <c r="H474"/>
      <c r="I474"/>
      <c r="J474"/>
      <c r="K474"/>
      <c r="L474"/>
      <c r="M474"/>
    </row>
    <row r="475" spans="1:13" hidden="1">
      <c r="A475"/>
      <c r="B475"/>
      <c r="C475"/>
      <c r="D475"/>
      <c r="F475"/>
      <c r="G475"/>
      <c r="H475"/>
      <c r="I475"/>
      <c r="J475"/>
      <c r="K475"/>
      <c r="L475"/>
      <c r="M475"/>
    </row>
    <row r="476" spans="1:13" hidden="1">
      <c r="A476"/>
      <c r="B476"/>
      <c r="C476"/>
      <c r="D476"/>
      <c r="F476"/>
      <c r="G476"/>
      <c r="H476"/>
      <c r="I476"/>
      <c r="J476"/>
      <c r="K476"/>
      <c r="L476"/>
      <c r="M476"/>
    </row>
    <row r="477" spans="1:13" hidden="1">
      <c r="A477"/>
      <c r="B477"/>
      <c r="C477"/>
      <c r="D477"/>
      <c r="F477"/>
      <c r="G477"/>
      <c r="H477"/>
      <c r="I477"/>
      <c r="J477"/>
      <c r="K477"/>
      <c r="L477"/>
      <c r="M477"/>
    </row>
    <row r="478" spans="1:13" hidden="1">
      <c r="A478"/>
      <c r="B478"/>
      <c r="C478"/>
      <c r="D478"/>
      <c r="F478"/>
      <c r="G478"/>
      <c r="H478"/>
      <c r="I478"/>
      <c r="J478"/>
      <c r="K478"/>
      <c r="L478"/>
      <c r="M478"/>
    </row>
    <row r="479" spans="1:13" hidden="1">
      <c r="A479"/>
      <c r="B479"/>
      <c r="C479"/>
      <c r="D479"/>
      <c r="F479"/>
      <c r="G479"/>
      <c r="H479"/>
      <c r="I479"/>
      <c r="J479"/>
      <c r="K479"/>
      <c r="L479"/>
      <c r="M479"/>
    </row>
    <row r="480" spans="1:13" hidden="1">
      <c r="A480"/>
      <c r="B480"/>
      <c r="C480"/>
      <c r="D480"/>
      <c r="F480"/>
      <c r="G480"/>
      <c r="H480"/>
      <c r="I480"/>
      <c r="J480"/>
      <c r="K480"/>
      <c r="L480"/>
      <c r="M480"/>
    </row>
    <row r="481" spans="1:13" hidden="1">
      <c r="A481"/>
      <c r="B481"/>
      <c r="C481"/>
      <c r="D481"/>
      <c r="F481"/>
      <c r="G481"/>
      <c r="H481"/>
      <c r="I481"/>
      <c r="J481"/>
      <c r="K481"/>
      <c r="L481"/>
      <c r="M481"/>
    </row>
    <row r="482" spans="1:13" hidden="1">
      <c r="A482"/>
      <c r="B482"/>
      <c r="C482"/>
      <c r="D482"/>
      <c r="F482"/>
      <c r="G482"/>
      <c r="H482"/>
      <c r="I482"/>
      <c r="J482"/>
      <c r="K482"/>
      <c r="L482"/>
      <c r="M482"/>
    </row>
    <row r="483" spans="1:13" hidden="1">
      <c r="A483"/>
      <c r="B483"/>
      <c r="C483"/>
      <c r="D483"/>
      <c r="F483"/>
      <c r="G483"/>
      <c r="H483"/>
      <c r="I483"/>
      <c r="J483"/>
      <c r="K483"/>
      <c r="L483"/>
      <c r="M483"/>
    </row>
    <row r="484" spans="1:13" hidden="1">
      <c r="A484"/>
      <c r="B484"/>
      <c r="C484"/>
      <c r="D484"/>
      <c r="F484"/>
      <c r="G484"/>
      <c r="H484"/>
      <c r="I484"/>
      <c r="J484"/>
      <c r="K484"/>
      <c r="L484"/>
      <c r="M484"/>
    </row>
    <row r="485" spans="1:13" hidden="1">
      <c r="A485"/>
      <c r="B485"/>
      <c r="C485"/>
      <c r="D485"/>
      <c r="F485"/>
      <c r="G485"/>
      <c r="H485"/>
      <c r="I485"/>
      <c r="J485"/>
      <c r="K485"/>
      <c r="L485"/>
      <c r="M485"/>
    </row>
    <row r="486" spans="1:13" hidden="1">
      <c r="A486"/>
      <c r="B486"/>
      <c r="C486"/>
      <c r="D486"/>
      <c r="F486"/>
      <c r="G486"/>
      <c r="H486"/>
      <c r="I486"/>
      <c r="J486"/>
      <c r="K486"/>
      <c r="L486"/>
      <c r="M486"/>
    </row>
    <row r="487" spans="1:13" hidden="1">
      <c r="A487"/>
      <c r="B487"/>
      <c r="C487"/>
      <c r="D487"/>
      <c r="F487"/>
      <c r="G487"/>
      <c r="H487"/>
      <c r="I487"/>
      <c r="J487"/>
      <c r="K487"/>
      <c r="L487"/>
      <c r="M487"/>
    </row>
    <row r="488" spans="1:13" hidden="1">
      <c r="A488"/>
      <c r="B488"/>
      <c r="C488"/>
      <c r="D488"/>
      <c r="F488"/>
      <c r="G488"/>
      <c r="H488"/>
      <c r="I488"/>
      <c r="J488"/>
      <c r="K488"/>
      <c r="L488"/>
      <c r="M488"/>
    </row>
    <row r="489" spans="1:13" hidden="1">
      <c r="A489"/>
      <c r="B489"/>
      <c r="C489"/>
      <c r="D489"/>
      <c r="F489"/>
      <c r="G489"/>
      <c r="H489"/>
      <c r="I489"/>
      <c r="J489"/>
      <c r="K489"/>
      <c r="L489"/>
      <c r="M489"/>
    </row>
    <row r="490" spans="1:13" hidden="1">
      <c r="A490"/>
      <c r="B490"/>
      <c r="C490"/>
      <c r="D490"/>
      <c r="F490"/>
      <c r="G490"/>
      <c r="H490"/>
      <c r="I490"/>
      <c r="J490"/>
      <c r="K490"/>
      <c r="L490"/>
      <c r="M490"/>
    </row>
    <row r="491" spans="1:13" hidden="1">
      <c r="A491"/>
      <c r="B491"/>
      <c r="C491"/>
      <c r="D491"/>
      <c r="F491"/>
      <c r="G491"/>
      <c r="H491"/>
      <c r="I491"/>
      <c r="J491"/>
      <c r="K491"/>
      <c r="L491"/>
      <c r="M491"/>
    </row>
    <row r="492" spans="1:13" hidden="1">
      <c r="A492"/>
      <c r="B492"/>
      <c r="C492"/>
      <c r="D492"/>
      <c r="F492"/>
      <c r="G492"/>
      <c r="H492"/>
      <c r="I492"/>
      <c r="J492"/>
      <c r="K492"/>
      <c r="L492"/>
      <c r="M492"/>
    </row>
    <row r="493" spans="1:13" hidden="1">
      <c r="A493"/>
      <c r="B493"/>
      <c r="C493"/>
      <c r="D493"/>
      <c r="F493"/>
      <c r="G493"/>
      <c r="H493"/>
      <c r="I493"/>
      <c r="J493"/>
      <c r="K493"/>
      <c r="L493"/>
      <c r="M493"/>
    </row>
    <row r="494" spans="1:13" hidden="1">
      <c r="A494"/>
      <c r="B494"/>
      <c r="C494"/>
      <c r="D494"/>
      <c r="F494"/>
      <c r="G494"/>
      <c r="H494"/>
      <c r="I494"/>
      <c r="J494"/>
      <c r="K494"/>
      <c r="L494"/>
      <c r="M494"/>
    </row>
    <row r="495" spans="1:13" hidden="1">
      <c r="A495"/>
      <c r="B495"/>
      <c r="C495"/>
      <c r="D495"/>
      <c r="F495"/>
      <c r="G495"/>
      <c r="H495"/>
      <c r="I495"/>
      <c r="J495"/>
      <c r="K495"/>
      <c r="L495"/>
      <c r="M495"/>
    </row>
    <row r="496" spans="1:13" hidden="1">
      <c r="A496"/>
      <c r="B496"/>
      <c r="C496"/>
      <c r="D496"/>
      <c r="F496"/>
      <c r="G496"/>
      <c r="H496"/>
      <c r="I496"/>
      <c r="J496"/>
      <c r="K496"/>
      <c r="L496"/>
      <c r="M496"/>
    </row>
    <row r="497" spans="1:13" hidden="1">
      <c r="A497"/>
      <c r="B497"/>
      <c r="C497"/>
      <c r="D497"/>
      <c r="F497"/>
      <c r="G497"/>
      <c r="H497"/>
      <c r="I497"/>
      <c r="J497"/>
      <c r="K497"/>
      <c r="L497"/>
      <c r="M497"/>
    </row>
    <row r="498" spans="1:13" hidden="1">
      <c r="A498"/>
      <c r="B498"/>
      <c r="C498"/>
      <c r="D498"/>
      <c r="F498"/>
      <c r="G498"/>
      <c r="H498"/>
      <c r="I498"/>
      <c r="J498"/>
      <c r="K498"/>
      <c r="L498"/>
      <c r="M498"/>
    </row>
    <row r="499" spans="1:13" hidden="1">
      <c r="A499"/>
      <c r="B499"/>
      <c r="C499"/>
      <c r="D499"/>
      <c r="F499"/>
      <c r="G499"/>
      <c r="H499"/>
      <c r="I499"/>
      <c r="J499"/>
      <c r="K499"/>
      <c r="L499"/>
      <c r="M499"/>
    </row>
    <row r="500" spans="1:13" hidden="1">
      <c r="A500"/>
      <c r="B500"/>
      <c r="C500"/>
      <c r="D500"/>
      <c r="F500"/>
      <c r="G500"/>
      <c r="H500"/>
      <c r="I500"/>
      <c r="J500"/>
      <c r="K500"/>
      <c r="L500"/>
      <c r="M500"/>
    </row>
    <row r="501" spans="1:13" hidden="1">
      <c r="A501"/>
      <c r="B501"/>
      <c r="C501"/>
      <c r="D501"/>
      <c r="F501"/>
      <c r="G501"/>
      <c r="H501"/>
      <c r="I501"/>
      <c r="J501"/>
      <c r="K501"/>
      <c r="L501"/>
      <c r="M501"/>
    </row>
    <row r="502" spans="1:13" hidden="1">
      <c r="A502"/>
      <c r="B502"/>
      <c r="C502"/>
      <c r="D502"/>
      <c r="F502"/>
      <c r="G502"/>
      <c r="H502"/>
      <c r="I502"/>
      <c r="J502"/>
      <c r="K502"/>
      <c r="L502"/>
      <c r="M502"/>
    </row>
    <row r="503" spans="1:13" hidden="1">
      <c r="A503"/>
      <c r="B503"/>
      <c r="C503"/>
      <c r="D503"/>
      <c r="F503"/>
      <c r="G503"/>
      <c r="H503"/>
      <c r="I503"/>
      <c r="J503"/>
      <c r="K503"/>
      <c r="L503"/>
      <c r="M503"/>
    </row>
    <row r="504" spans="1:13" hidden="1">
      <c r="A504"/>
      <c r="B504"/>
      <c r="C504"/>
      <c r="D504"/>
      <c r="F504"/>
      <c r="G504"/>
      <c r="H504"/>
      <c r="I504"/>
      <c r="J504"/>
      <c r="K504"/>
      <c r="L504"/>
      <c r="M504"/>
    </row>
    <row r="505" spans="1:13" hidden="1">
      <c r="A505"/>
      <c r="B505"/>
      <c r="C505"/>
      <c r="D505"/>
      <c r="F505"/>
      <c r="G505"/>
      <c r="H505"/>
      <c r="I505"/>
      <c r="J505"/>
      <c r="K505"/>
      <c r="L505"/>
      <c r="M505"/>
    </row>
    <row r="506" spans="1:13" hidden="1">
      <c r="A506"/>
      <c r="B506"/>
      <c r="C506"/>
      <c r="D506"/>
      <c r="F506"/>
      <c r="G506"/>
      <c r="H506"/>
      <c r="I506"/>
      <c r="J506"/>
      <c r="K506"/>
      <c r="L506"/>
      <c r="M506"/>
    </row>
    <row r="507" spans="1:13" hidden="1">
      <c r="A507"/>
      <c r="B507"/>
      <c r="C507"/>
      <c r="D507"/>
      <c r="F507"/>
      <c r="G507"/>
      <c r="H507"/>
      <c r="I507"/>
      <c r="J507"/>
      <c r="K507"/>
      <c r="L507"/>
      <c r="M507"/>
    </row>
    <row r="508" spans="1:13" hidden="1">
      <c r="A508"/>
      <c r="B508"/>
      <c r="C508"/>
      <c r="D508"/>
      <c r="F508"/>
      <c r="G508"/>
      <c r="H508"/>
      <c r="I508"/>
      <c r="J508"/>
      <c r="K508"/>
      <c r="L508"/>
      <c r="M508"/>
    </row>
    <row r="509" spans="1:13" hidden="1">
      <c r="A509"/>
      <c r="B509"/>
      <c r="C509"/>
      <c r="D509"/>
      <c r="F509"/>
      <c r="G509"/>
      <c r="H509"/>
      <c r="I509"/>
      <c r="J509"/>
      <c r="K509"/>
      <c r="L509"/>
      <c r="M509"/>
    </row>
    <row r="510" spans="1:13" hidden="1">
      <c r="A510"/>
      <c r="B510"/>
      <c r="C510"/>
      <c r="D510"/>
      <c r="F510"/>
      <c r="G510"/>
      <c r="H510"/>
      <c r="I510"/>
      <c r="J510"/>
      <c r="K510"/>
      <c r="L510"/>
      <c r="M510"/>
    </row>
    <row r="511" spans="1:13" hidden="1">
      <c r="A511"/>
      <c r="B511"/>
      <c r="C511"/>
      <c r="D511"/>
      <c r="F511"/>
      <c r="G511"/>
      <c r="H511"/>
      <c r="I511"/>
      <c r="J511"/>
      <c r="K511"/>
      <c r="L511"/>
      <c r="M511"/>
    </row>
    <row r="512" spans="1:13" hidden="1">
      <c r="A512"/>
      <c r="B512"/>
      <c r="C512"/>
      <c r="D512"/>
      <c r="F512"/>
      <c r="G512"/>
      <c r="H512"/>
      <c r="I512"/>
      <c r="J512"/>
      <c r="K512"/>
      <c r="L512"/>
      <c r="M512"/>
    </row>
    <row r="513" spans="1:13" hidden="1">
      <c r="A513"/>
      <c r="B513"/>
      <c r="C513"/>
      <c r="D513"/>
      <c r="F513"/>
      <c r="G513"/>
      <c r="H513"/>
      <c r="I513"/>
      <c r="J513"/>
      <c r="K513"/>
      <c r="L513"/>
      <c r="M513"/>
    </row>
    <row r="514" spans="1:13" hidden="1">
      <c r="A514"/>
      <c r="B514"/>
      <c r="C514"/>
      <c r="D514"/>
      <c r="F514"/>
      <c r="G514"/>
      <c r="H514"/>
      <c r="I514"/>
      <c r="J514"/>
      <c r="K514"/>
      <c r="L514"/>
      <c r="M514"/>
    </row>
    <row r="515" spans="1:13" hidden="1">
      <c r="A515"/>
      <c r="B515"/>
      <c r="C515"/>
      <c r="D515"/>
      <c r="F515"/>
      <c r="G515"/>
      <c r="H515"/>
      <c r="I515"/>
      <c r="J515"/>
      <c r="K515"/>
      <c r="L515"/>
      <c r="M515"/>
    </row>
    <row r="516" spans="1:13" hidden="1">
      <c r="A516"/>
      <c r="B516"/>
      <c r="C516"/>
      <c r="D516"/>
      <c r="F516"/>
      <c r="G516"/>
      <c r="H516"/>
      <c r="I516"/>
      <c r="J516"/>
      <c r="K516"/>
      <c r="L516"/>
      <c r="M516"/>
    </row>
    <row r="517" spans="1:13" hidden="1">
      <c r="A517"/>
      <c r="B517"/>
      <c r="C517"/>
      <c r="D517"/>
      <c r="F517"/>
      <c r="G517"/>
      <c r="H517"/>
      <c r="I517"/>
      <c r="J517"/>
      <c r="K517"/>
      <c r="L517"/>
      <c r="M517"/>
    </row>
    <row r="518" spans="1:13" hidden="1">
      <c r="A518"/>
      <c r="B518"/>
      <c r="C518"/>
      <c r="D518"/>
      <c r="F518"/>
      <c r="G518"/>
      <c r="H518"/>
      <c r="I518"/>
      <c r="J518"/>
      <c r="K518"/>
      <c r="L518"/>
      <c r="M518"/>
    </row>
    <row r="519" spans="1:13" hidden="1">
      <c r="A519"/>
      <c r="B519"/>
      <c r="C519"/>
      <c r="D519"/>
      <c r="F519"/>
      <c r="G519"/>
      <c r="H519"/>
      <c r="I519"/>
      <c r="J519"/>
      <c r="K519"/>
      <c r="L519"/>
      <c r="M519"/>
    </row>
    <row r="520" spans="1:13" hidden="1">
      <c r="A520"/>
      <c r="B520"/>
      <c r="C520"/>
      <c r="D520"/>
      <c r="F520"/>
      <c r="G520"/>
      <c r="H520"/>
      <c r="I520"/>
      <c r="J520"/>
      <c r="K520"/>
      <c r="L520"/>
      <c r="M520"/>
    </row>
    <row r="521" spans="1:13" hidden="1">
      <c r="A521"/>
      <c r="B521"/>
      <c r="C521"/>
      <c r="D521"/>
      <c r="F521"/>
      <c r="G521"/>
      <c r="H521"/>
      <c r="I521"/>
      <c r="J521"/>
      <c r="K521"/>
      <c r="L521"/>
      <c r="M521"/>
    </row>
    <row r="522" spans="1:13" hidden="1">
      <c r="A522"/>
      <c r="B522"/>
      <c r="C522"/>
      <c r="D522"/>
      <c r="F522"/>
      <c r="G522"/>
      <c r="H522"/>
      <c r="I522"/>
      <c r="J522"/>
      <c r="K522"/>
      <c r="L522"/>
      <c r="M522"/>
    </row>
    <row r="523" spans="1:13" hidden="1">
      <c r="A523"/>
      <c r="B523"/>
      <c r="C523"/>
      <c r="D523"/>
      <c r="F523"/>
      <c r="G523"/>
      <c r="H523"/>
      <c r="I523"/>
      <c r="J523"/>
      <c r="K523"/>
      <c r="L523"/>
      <c r="M523"/>
    </row>
    <row r="524" spans="1:13" hidden="1">
      <c r="A524"/>
      <c r="B524"/>
      <c r="C524"/>
      <c r="D524"/>
      <c r="F524"/>
      <c r="G524"/>
      <c r="H524"/>
      <c r="I524"/>
      <c r="J524"/>
      <c r="K524"/>
      <c r="L524"/>
      <c r="M524"/>
    </row>
    <row r="525" spans="1:13" hidden="1">
      <c r="A525"/>
      <c r="B525"/>
      <c r="C525"/>
      <c r="D525"/>
      <c r="F525"/>
      <c r="G525"/>
      <c r="H525"/>
      <c r="I525"/>
      <c r="J525"/>
      <c r="K525"/>
      <c r="L525"/>
      <c r="M525"/>
    </row>
    <row r="526" spans="1:13" hidden="1">
      <c r="A526"/>
      <c r="B526"/>
      <c r="C526"/>
      <c r="D526"/>
      <c r="F526"/>
      <c r="G526"/>
      <c r="H526"/>
      <c r="I526"/>
      <c r="J526"/>
      <c r="K526"/>
      <c r="L526"/>
      <c r="M526"/>
    </row>
    <row r="527" spans="1:13" hidden="1">
      <c r="A527"/>
      <c r="B527"/>
      <c r="C527"/>
      <c r="D527"/>
      <c r="F527"/>
      <c r="G527"/>
      <c r="H527"/>
      <c r="I527"/>
      <c r="J527"/>
      <c r="K527"/>
      <c r="L527"/>
      <c r="M527"/>
    </row>
    <row r="528" spans="1:13" hidden="1">
      <c r="A528"/>
      <c r="B528"/>
      <c r="C528"/>
      <c r="D528"/>
      <c r="F528"/>
      <c r="G528"/>
      <c r="H528"/>
      <c r="I528"/>
      <c r="J528"/>
      <c r="K528"/>
      <c r="L528"/>
      <c r="M528"/>
    </row>
    <row r="529" spans="1:13" hidden="1">
      <c r="A529"/>
      <c r="B529"/>
      <c r="C529"/>
      <c r="D529"/>
      <c r="F529"/>
      <c r="G529"/>
      <c r="H529"/>
      <c r="I529"/>
      <c r="J529"/>
      <c r="K529"/>
      <c r="L529"/>
      <c r="M529"/>
    </row>
    <row r="530" spans="1:13" hidden="1">
      <c r="A530"/>
      <c r="B530"/>
      <c r="C530"/>
      <c r="D530"/>
      <c r="F530"/>
      <c r="G530"/>
      <c r="H530"/>
      <c r="I530"/>
      <c r="J530"/>
      <c r="K530"/>
      <c r="L530"/>
      <c r="M530"/>
    </row>
    <row r="531" spans="1:13" hidden="1">
      <c r="A531"/>
      <c r="B531"/>
      <c r="C531"/>
      <c r="D531"/>
      <c r="F531"/>
      <c r="G531"/>
      <c r="H531"/>
      <c r="I531"/>
      <c r="J531"/>
      <c r="K531"/>
      <c r="L531"/>
      <c r="M531"/>
    </row>
    <row r="532" spans="1:13" hidden="1">
      <c r="A532"/>
      <c r="B532"/>
      <c r="C532"/>
      <c r="D532"/>
      <c r="F532"/>
      <c r="G532"/>
      <c r="H532"/>
      <c r="I532"/>
      <c r="J532"/>
      <c r="K532"/>
      <c r="L532"/>
      <c r="M532"/>
    </row>
    <row r="533" spans="1:13" hidden="1">
      <c r="A533"/>
      <c r="B533"/>
      <c r="C533"/>
      <c r="D533"/>
      <c r="F533"/>
      <c r="G533"/>
      <c r="H533"/>
      <c r="I533"/>
      <c r="J533"/>
      <c r="K533"/>
      <c r="L533"/>
      <c r="M533"/>
    </row>
    <row r="534" spans="1:13" hidden="1">
      <c r="A534"/>
      <c r="B534"/>
      <c r="C534"/>
      <c r="D534"/>
      <c r="F534"/>
      <c r="G534"/>
      <c r="H534"/>
      <c r="I534"/>
      <c r="J534"/>
      <c r="K534"/>
      <c r="L534"/>
      <c r="M534"/>
    </row>
    <row r="535" spans="1:13" hidden="1">
      <c r="A535"/>
      <c r="B535"/>
      <c r="C535"/>
      <c r="D535"/>
      <c r="F535"/>
      <c r="G535"/>
      <c r="H535"/>
      <c r="I535"/>
      <c r="J535"/>
      <c r="K535"/>
      <c r="L535"/>
      <c r="M535"/>
    </row>
    <row r="536" spans="1:13" hidden="1">
      <c r="A536"/>
      <c r="B536"/>
      <c r="C536"/>
      <c r="D536"/>
      <c r="F536"/>
      <c r="G536"/>
      <c r="H536"/>
      <c r="I536"/>
      <c r="J536"/>
      <c r="K536"/>
      <c r="L536"/>
      <c r="M536"/>
    </row>
    <row r="537" spans="1:13" hidden="1">
      <c r="A537"/>
      <c r="B537"/>
      <c r="C537"/>
      <c r="D537"/>
      <c r="F537"/>
      <c r="G537"/>
      <c r="H537"/>
      <c r="I537"/>
      <c r="J537"/>
      <c r="K537"/>
      <c r="L537"/>
      <c r="M537"/>
    </row>
    <row r="538" spans="1:13" hidden="1">
      <c r="A538"/>
      <c r="B538"/>
      <c r="C538"/>
      <c r="D538"/>
      <c r="F538"/>
      <c r="G538"/>
      <c r="H538"/>
      <c r="I538"/>
      <c r="J538"/>
      <c r="K538"/>
      <c r="L538"/>
      <c r="M538"/>
    </row>
    <row r="539" spans="1:13" hidden="1">
      <c r="A539"/>
      <c r="B539"/>
      <c r="C539"/>
      <c r="D539"/>
      <c r="F539"/>
      <c r="G539"/>
      <c r="H539"/>
      <c r="I539"/>
      <c r="J539"/>
      <c r="K539"/>
      <c r="L539"/>
      <c r="M539"/>
    </row>
    <row r="540" spans="1:13" hidden="1">
      <c r="A540"/>
      <c r="B540"/>
      <c r="C540"/>
      <c r="D540"/>
      <c r="F540"/>
      <c r="G540"/>
      <c r="H540"/>
      <c r="I540"/>
      <c r="J540"/>
      <c r="K540"/>
      <c r="L540"/>
      <c r="M540"/>
    </row>
    <row r="541" spans="1:13" hidden="1">
      <c r="A541"/>
      <c r="B541"/>
      <c r="C541"/>
      <c r="D541"/>
      <c r="F541"/>
      <c r="G541"/>
      <c r="H541"/>
      <c r="I541"/>
      <c r="J541"/>
      <c r="K541"/>
      <c r="L541"/>
      <c r="M541"/>
    </row>
    <row r="542" spans="1:13" hidden="1">
      <c r="A542"/>
      <c r="B542"/>
      <c r="C542"/>
      <c r="D542"/>
      <c r="F542"/>
      <c r="G542"/>
      <c r="H542"/>
      <c r="I542"/>
      <c r="J542"/>
      <c r="K542"/>
      <c r="L542"/>
      <c r="M542"/>
    </row>
    <row r="543" spans="1:13" hidden="1">
      <c r="A543"/>
      <c r="B543"/>
      <c r="C543"/>
      <c r="D543"/>
      <c r="F543"/>
      <c r="G543"/>
      <c r="H543"/>
      <c r="I543"/>
      <c r="J543"/>
      <c r="K543"/>
      <c r="L543"/>
      <c r="M543"/>
    </row>
    <row r="544" spans="1:13" hidden="1">
      <c r="A544"/>
      <c r="B544"/>
      <c r="C544"/>
      <c r="D544"/>
      <c r="F544"/>
      <c r="G544"/>
      <c r="H544"/>
      <c r="I544"/>
      <c r="J544"/>
      <c r="K544"/>
      <c r="L544"/>
      <c r="M544"/>
    </row>
    <row r="545" spans="1:13" hidden="1">
      <c r="A545"/>
      <c r="B545"/>
      <c r="C545"/>
      <c r="D545"/>
      <c r="F545"/>
      <c r="G545"/>
      <c r="H545"/>
      <c r="I545"/>
      <c r="J545"/>
      <c r="K545"/>
      <c r="L545"/>
      <c r="M545"/>
    </row>
    <row r="546" spans="1:13" hidden="1">
      <c r="A546"/>
      <c r="B546"/>
      <c r="C546"/>
      <c r="D546"/>
      <c r="F546"/>
      <c r="G546"/>
      <c r="H546"/>
      <c r="I546"/>
      <c r="J546"/>
      <c r="K546"/>
      <c r="L546"/>
      <c r="M546"/>
    </row>
    <row r="547" spans="1:13" hidden="1">
      <c r="A547"/>
      <c r="B547"/>
      <c r="C547"/>
      <c r="D547"/>
      <c r="F547"/>
      <c r="G547"/>
      <c r="H547"/>
      <c r="I547"/>
      <c r="J547"/>
      <c r="K547"/>
      <c r="L547"/>
      <c r="M547"/>
    </row>
    <row r="548" spans="1:13" hidden="1">
      <c r="A548"/>
      <c r="B548"/>
      <c r="C548"/>
      <c r="D548"/>
      <c r="F548"/>
      <c r="G548"/>
      <c r="H548"/>
      <c r="I548"/>
      <c r="J548"/>
      <c r="K548"/>
      <c r="L548"/>
      <c r="M548"/>
    </row>
    <row r="549" spans="1:13" hidden="1">
      <c r="A549"/>
      <c r="B549"/>
      <c r="C549"/>
      <c r="D549"/>
      <c r="F549"/>
      <c r="G549"/>
      <c r="H549"/>
      <c r="I549"/>
      <c r="J549"/>
      <c r="K549"/>
      <c r="L549"/>
      <c r="M549"/>
    </row>
    <row r="550" spans="1:13" hidden="1">
      <c r="A550"/>
      <c r="B550"/>
      <c r="C550"/>
      <c r="D550"/>
      <c r="F550"/>
      <c r="G550"/>
      <c r="H550"/>
      <c r="I550"/>
      <c r="J550"/>
      <c r="K550"/>
      <c r="L550"/>
      <c r="M550"/>
    </row>
    <row r="551" spans="1:13" hidden="1">
      <c r="A551"/>
      <c r="B551"/>
      <c r="C551"/>
      <c r="D551"/>
      <c r="F551"/>
      <c r="G551"/>
      <c r="H551"/>
      <c r="I551"/>
      <c r="J551"/>
      <c r="K551"/>
      <c r="L551"/>
      <c r="M551"/>
    </row>
    <row r="552" spans="1:13" hidden="1">
      <c r="A552"/>
      <c r="B552"/>
      <c r="C552"/>
      <c r="D552"/>
      <c r="F552"/>
      <c r="G552"/>
      <c r="H552"/>
      <c r="I552"/>
      <c r="J552"/>
      <c r="K552"/>
      <c r="L552"/>
      <c r="M552"/>
    </row>
    <row r="553" spans="1:13" hidden="1">
      <c r="A553"/>
      <c r="B553"/>
      <c r="C553"/>
      <c r="D553"/>
      <c r="F553"/>
      <c r="G553"/>
      <c r="H553"/>
      <c r="I553"/>
      <c r="J553"/>
      <c r="K553"/>
      <c r="L553"/>
      <c r="M553"/>
    </row>
    <row r="554" spans="1:13" hidden="1">
      <c r="A554"/>
      <c r="B554"/>
      <c r="C554"/>
      <c r="D554"/>
      <c r="F554"/>
      <c r="G554"/>
      <c r="H554"/>
      <c r="I554"/>
      <c r="J554"/>
      <c r="K554"/>
      <c r="L554"/>
      <c r="M554"/>
    </row>
    <row r="555" spans="1:13" hidden="1">
      <c r="A555"/>
      <c r="B555"/>
      <c r="C555"/>
      <c r="D555"/>
      <c r="F555"/>
      <c r="G555"/>
      <c r="H555"/>
      <c r="I555"/>
      <c r="J555"/>
      <c r="K555"/>
      <c r="L555"/>
      <c r="M555"/>
    </row>
    <row r="556" spans="1:13" hidden="1">
      <c r="A556"/>
      <c r="B556"/>
      <c r="C556"/>
      <c r="D556"/>
      <c r="F556"/>
      <c r="G556"/>
      <c r="H556"/>
      <c r="I556"/>
      <c r="J556"/>
      <c r="K556"/>
      <c r="L556"/>
      <c r="M556"/>
    </row>
    <row r="557" spans="1:13" hidden="1">
      <c r="A557"/>
      <c r="B557"/>
      <c r="C557"/>
      <c r="D557"/>
      <c r="F557"/>
      <c r="G557"/>
      <c r="H557"/>
      <c r="I557"/>
      <c r="J557"/>
      <c r="K557"/>
      <c r="L557"/>
      <c r="M557"/>
    </row>
    <row r="558" spans="1:13" hidden="1">
      <c r="A558"/>
      <c r="B558"/>
      <c r="C558"/>
      <c r="D558"/>
      <c r="F558"/>
      <c r="G558"/>
      <c r="H558"/>
      <c r="I558"/>
      <c r="J558"/>
      <c r="K558"/>
      <c r="L558"/>
      <c r="M558"/>
    </row>
    <row r="559" spans="1:13" hidden="1">
      <c r="A559"/>
      <c r="B559"/>
      <c r="C559"/>
      <c r="D559"/>
      <c r="F559"/>
      <c r="G559"/>
      <c r="H559"/>
      <c r="I559"/>
      <c r="J559"/>
      <c r="K559"/>
      <c r="L559"/>
      <c r="M559"/>
    </row>
    <row r="560" spans="1:13" hidden="1">
      <c r="A560"/>
      <c r="B560"/>
      <c r="C560"/>
      <c r="D560"/>
      <c r="F560"/>
      <c r="G560"/>
      <c r="H560"/>
      <c r="I560"/>
      <c r="J560"/>
      <c r="K560"/>
      <c r="L560"/>
      <c r="M560"/>
    </row>
    <row r="561" spans="1:13" hidden="1">
      <c r="A561"/>
      <c r="B561"/>
      <c r="C561"/>
      <c r="D561"/>
      <c r="F561"/>
      <c r="G561"/>
      <c r="H561"/>
      <c r="I561"/>
      <c r="J561"/>
      <c r="K561"/>
      <c r="L561"/>
      <c r="M561"/>
    </row>
    <row r="562" spans="1:13" hidden="1">
      <c r="A562"/>
      <c r="B562"/>
      <c r="C562"/>
      <c r="D562"/>
      <c r="F562"/>
      <c r="G562"/>
      <c r="H562"/>
      <c r="I562"/>
      <c r="J562"/>
      <c r="K562"/>
      <c r="L562"/>
      <c r="M562"/>
    </row>
    <row r="563" spans="1:13" hidden="1">
      <c r="A563"/>
      <c r="B563"/>
      <c r="C563"/>
      <c r="D563"/>
      <c r="F563"/>
      <c r="G563"/>
      <c r="H563"/>
      <c r="I563"/>
      <c r="J563"/>
      <c r="K563"/>
      <c r="L563"/>
      <c r="M563"/>
    </row>
    <row r="564" spans="1:13" hidden="1">
      <c r="A564"/>
      <c r="B564"/>
      <c r="C564"/>
      <c r="D564"/>
      <c r="F564"/>
      <c r="G564"/>
      <c r="H564"/>
      <c r="I564"/>
      <c r="J564"/>
      <c r="K564"/>
      <c r="L564"/>
      <c r="M564"/>
    </row>
    <row r="565" spans="1:13" hidden="1">
      <c r="A565"/>
      <c r="B565"/>
      <c r="C565"/>
      <c r="D565"/>
      <c r="F565"/>
      <c r="G565"/>
      <c r="H565"/>
      <c r="I565"/>
      <c r="J565"/>
      <c r="K565"/>
      <c r="L565"/>
      <c r="M565"/>
    </row>
    <row r="566" spans="1:13" hidden="1">
      <c r="A566"/>
      <c r="B566"/>
      <c r="C566"/>
      <c r="D566"/>
      <c r="F566"/>
      <c r="G566"/>
      <c r="H566"/>
      <c r="I566"/>
      <c r="J566"/>
      <c r="K566"/>
      <c r="L566"/>
      <c r="M566"/>
    </row>
    <row r="567" spans="1:13" hidden="1">
      <c r="A567"/>
      <c r="B567"/>
      <c r="C567"/>
      <c r="D567"/>
      <c r="F567"/>
      <c r="G567"/>
      <c r="H567"/>
      <c r="I567"/>
      <c r="J567"/>
      <c r="K567"/>
      <c r="L567"/>
      <c r="M567"/>
    </row>
    <row r="568" spans="1:13"/>
    <row r="569" spans="1:13"/>
    <row r="570" spans="1:13"/>
  </sheetData>
  <autoFilter ref="A1:F57" xr:uid="{00000000-0001-0000-0400-000000000000}"/>
  <pageMargins left="0.7" right="0.7" top="0.75" bottom="0.75" header="0.3" footer="0.3"/>
  <pageSetup paperSize="9" orientation="portrait" r:id="rId1"/>
  <headerFooter>
    <oddFooter>&amp;L_x000D_&amp;1#&amp;"Calibri"&amp;10&amp;K000000 Classification: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15</vt:i4>
      </vt:variant>
    </vt:vector>
  </HeadingPairs>
  <TitlesOfParts>
    <vt:vector size="20" baseType="lpstr">
      <vt:lpstr>Fert Eval</vt:lpstr>
      <vt:lpstr>Cost estimate per treatment</vt:lpstr>
      <vt:lpstr>Fert Eval programming</vt:lpstr>
      <vt:lpstr>FertEvalChoices</vt:lpstr>
      <vt:lpstr>inputs</vt:lpstr>
      <vt:lpstr>CCR0</vt:lpstr>
      <vt:lpstr>inputs!Print_Area</vt:lpstr>
      <vt:lpstr>rate0</vt:lpstr>
      <vt:lpstr>rate1</vt:lpstr>
      <vt:lpstr>rate10</vt:lpstr>
      <vt:lpstr>rate11</vt:lpstr>
      <vt:lpstr>rate12</vt:lpstr>
      <vt:lpstr>rate2</vt:lpstr>
      <vt:lpstr>rate3</vt:lpstr>
      <vt:lpstr>rate4</vt:lpstr>
      <vt:lpstr>rate5</vt:lpstr>
      <vt:lpstr>rate6</vt:lpstr>
      <vt:lpstr>rate7</vt:lpstr>
      <vt:lpstr>rate8</vt:lpstr>
      <vt:lpstr>rate9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2023-11-22T14:15:42Z</dcterms:created>
  <dcterms:modified xsi:type="dcterms:W3CDTF">2023-11-22T15:35:26Z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72ba27-cab8-4042-a351-a31f6e4eacdc_Enabled">
    <vt:lpwstr>true</vt:lpwstr>
  </property>
  <property fmtid="{D5CDD505-2E9C-101B-9397-08002B2CF9AE}" pid="3" name="MSIP_Label_8772ba27-cab8-4042-a351-a31f6e4eacdc_SetDate">
    <vt:lpwstr>2023-11-22T14:15:57Z</vt:lpwstr>
  </property>
  <property fmtid="{D5CDD505-2E9C-101B-9397-08002B2CF9AE}" pid="4" name="MSIP_Label_8772ba27-cab8-4042-a351-a31f6e4eacdc_Method">
    <vt:lpwstr>Standard</vt:lpwstr>
  </property>
  <property fmtid="{D5CDD505-2E9C-101B-9397-08002B2CF9AE}" pid="5" name="MSIP_Label_8772ba27-cab8-4042-a351-a31f6e4eacdc_Name">
    <vt:lpwstr>Internal</vt:lpwstr>
  </property>
  <property fmtid="{D5CDD505-2E9C-101B-9397-08002B2CF9AE}" pid="6" name="MSIP_Label_8772ba27-cab8-4042-a351-a31f6e4eacdc_SiteId">
    <vt:lpwstr>715902d6-f63e-4b8d-929b-4bb170bad492</vt:lpwstr>
  </property>
  <property fmtid="{D5CDD505-2E9C-101B-9397-08002B2CF9AE}" pid="7" name="MSIP_Label_8772ba27-cab8-4042-a351-a31f6e4eacdc_ActionId">
    <vt:lpwstr>4a64b081-2476-4598-8861-f83ef3adb539</vt:lpwstr>
  </property>
  <property fmtid="{D5CDD505-2E9C-101B-9397-08002B2CF9AE}" pid="8" name="MSIP_Label_8772ba27-cab8-4042-a351-a31f6e4eacdc_ContentBits">
    <vt:lpwstr>0</vt:lpwstr>
  </property>
</Properties>
</file>