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torage-al.slu.se\home$\aoeo0001\Desktop\DsuzOR69a-MS-Submission\"/>
    </mc:Choice>
  </mc:AlternateContent>
  <bookViews>
    <workbookView xWindow="0" yWindow="0" windowWidth="20496" windowHeight="7752"/>
  </bookViews>
  <sheets>
    <sheet name="Spike-counting DsuzOR69aA" sheetId="5" r:id="rId1"/>
    <sheet name="Spike-counting DsuzOR69aB" sheetId="6" r:id="rId2"/>
    <sheet name="Spike-counting DsuzOR69aC" sheetId="7" r:id="rId3"/>
    <sheet name="DR-DsuzOR69aA" sheetId="4" r:id="rId4"/>
    <sheet name="DR-DsuzOR69aB" sheetId="3" r:id="rId5"/>
    <sheet name="DR-DsuzOR69aC" sheetId="2" r:id="rId6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4" i="7" l="1"/>
  <c r="P5" i="7"/>
  <c r="P6" i="7"/>
  <c r="P7" i="7"/>
  <c r="P8" i="7"/>
  <c r="P9" i="7"/>
  <c r="P10" i="7"/>
  <c r="P11" i="7"/>
  <c r="P12" i="7"/>
  <c r="P13" i="7"/>
  <c r="P14" i="7"/>
  <c r="P15" i="7"/>
  <c r="P16" i="7"/>
  <c r="P17" i="7"/>
  <c r="P18" i="7"/>
  <c r="P19" i="7"/>
  <c r="P20" i="7"/>
  <c r="P21" i="7"/>
  <c r="P22" i="7"/>
  <c r="P23" i="7"/>
  <c r="P24" i="7"/>
  <c r="P25" i="7"/>
  <c r="P26" i="7"/>
  <c r="P27" i="7"/>
  <c r="P28" i="7"/>
  <c r="P29" i="7"/>
  <c r="P30" i="7"/>
  <c r="P31" i="7"/>
  <c r="P32" i="7"/>
  <c r="P33" i="7"/>
  <c r="P34" i="7"/>
  <c r="P35" i="7"/>
  <c r="P36" i="7"/>
  <c r="P37" i="7"/>
  <c r="P38" i="7"/>
  <c r="P39" i="7"/>
  <c r="P40" i="7"/>
  <c r="P41" i="7"/>
  <c r="P42" i="7"/>
  <c r="P43" i="7"/>
  <c r="P44" i="7"/>
  <c r="P45" i="7"/>
  <c r="P46" i="7"/>
  <c r="P47" i="7"/>
  <c r="P48" i="7"/>
  <c r="P49" i="7"/>
  <c r="P50" i="7"/>
  <c r="P3" i="7"/>
  <c r="O3" i="6"/>
  <c r="L17" i="6"/>
  <c r="K17" i="6"/>
  <c r="O17" i="6"/>
  <c r="O4" i="6"/>
  <c r="O5" i="6"/>
  <c r="O6" i="6"/>
  <c r="O7" i="6"/>
  <c r="O8" i="6"/>
  <c r="O9" i="6"/>
  <c r="O10" i="6"/>
  <c r="O11" i="6"/>
  <c r="O12" i="6"/>
  <c r="O13" i="6"/>
  <c r="O14" i="6"/>
  <c r="O15" i="6"/>
  <c r="O16" i="6"/>
  <c r="O18" i="6"/>
  <c r="O19" i="6"/>
  <c r="O20" i="6"/>
  <c r="O21" i="6"/>
  <c r="O22" i="6"/>
  <c r="O23" i="6"/>
  <c r="O24" i="6"/>
  <c r="O25" i="6"/>
  <c r="O26" i="6"/>
  <c r="O27" i="6"/>
  <c r="O28" i="6"/>
  <c r="O29" i="6"/>
  <c r="O30" i="6"/>
  <c r="O31" i="6"/>
  <c r="O32" i="6"/>
  <c r="O33" i="6"/>
  <c r="O34" i="6"/>
  <c r="O35" i="6"/>
  <c r="O36" i="6"/>
  <c r="O37" i="6"/>
  <c r="O38" i="6"/>
  <c r="O39" i="6"/>
  <c r="O40" i="6"/>
  <c r="O41" i="6"/>
  <c r="O42" i="6"/>
  <c r="O43" i="6"/>
  <c r="O44" i="6"/>
  <c r="O45" i="6"/>
  <c r="O46" i="6"/>
  <c r="O47" i="6"/>
  <c r="O48" i="6"/>
  <c r="O49" i="6"/>
  <c r="O50" i="6"/>
  <c r="O7" i="5"/>
  <c r="O8" i="5"/>
  <c r="O9" i="5"/>
  <c r="O10" i="5"/>
  <c r="O11" i="5"/>
  <c r="O12" i="5"/>
  <c r="O13" i="5"/>
  <c r="O14" i="5"/>
  <c r="O15" i="5"/>
  <c r="O16" i="5"/>
  <c r="O17" i="5"/>
  <c r="O18" i="5"/>
  <c r="O19" i="5"/>
  <c r="O20" i="5"/>
  <c r="O21" i="5"/>
  <c r="O22" i="5"/>
  <c r="O23" i="5"/>
  <c r="O24" i="5"/>
  <c r="O25" i="5"/>
  <c r="O26" i="5"/>
  <c r="O27" i="5"/>
  <c r="O28" i="5"/>
  <c r="O29" i="5"/>
  <c r="O30" i="5"/>
  <c r="O31" i="5"/>
  <c r="O32" i="5"/>
  <c r="O33" i="5"/>
  <c r="O34" i="5"/>
  <c r="O35" i="5"/>
  <c r="O36" i="5"/>
  <c r="O37" i="5"/>
  <c r="O38" i="5"/>
  <c r="O39" i="5"/>
  <c r="O40" i="5"/>
  <c r="O41" i="5"/>
  <c r="O42" i="5"/>
  <c r="O43" i="5"/>
  <c r="O44" i="5"/>
  <c r="O45" i="5"/>
  <c r="O46" i="5"/>
  <c r="O47" i="5"/>
  <c r="O48" i="5"/>
  <c r="O49" i="5"/>
  <c r="O50" i="5"/>
  <c r="O51" i="5"/>
  <c r="O52" i="5"/>
  <c r="O53" i="5"/>
  <c r="O54" i="5"/>
  <c r="Q15" i="4"/>
  <c r="Q16" i="4"/>
  <c r="AL14" i="4"/>
  <c r="V26" i="4"/>
  <c r="V17" i="4"/>
  <c r="V15" i="4"/>
  <c r="V14" i="4"/>
  <c r="V13" i="4"/>
  <c r="V9" i="4"/>
  <c r="V8" i="4"/>
  <c r="V7" i="4"/>
  <c r="V6" i="4"/>
  <c r="V5" i="4"/>
  <c r="V4" i="4"/>
  <c r="V3" i="4"/>
  <c r="P13" i="2"/>
  <c r="V8" i="3"/>
  <c r="V18" i="3"/>
  <c r="V17" i="3"/>
  <c r="V16" i="3"/>
  <c r="V27" i="3"/>
  <c r="V26" i="3"/>
  <c r="V4" i="3"/>
  <c r="V5" i="3"/>
  <c r="V6" i="3"/>
  <c r="V7" i="3"/>
  <c r="V9" i="3"/>
  <c r="V12" i="3"/>
  <c r="V13" i="3"/>
  <c r="V14" i="3"/>
  <c r="V15" i="3"/>
  <c r="V21" i="3"/>
  <c r="V22" i="3"/>
  <c r="V23" i="3"/>
  <c r="V24" i="3"/>
  <c r="V25" i="3"/>
  <c r="V3" i="3"/>
  <c r="P21" i="2"/>
  <c r="P4" i="2"/>
  <c r="P5" i="2"/>
  <c r="P6" i="2"/>
  <c r="P7" i="2"/>
  <c r="P8" i="2"/>
  <c r="P9" i="2"/>
  <c r="P12" i="2"/>
  <c r="P14" i="2"/>
  <c r="P15" i="2"/>
  <c r="P16" i="2"/>
  <c r="P17" i="2"/>
  <c r="P18" i="2"/>
  <c r="P22" i="2"/>
  <c r="P23" i="2"/>
  <c r="P24" i="2"/>
  <c r="P25" i="2"/>
  <c r="P26" i="2"/>
  <c r="P27" i="2"/>
  <c r="P3" i="2"/>
  <c r="AH27" i="4"/>
  <c r="AM17" i="4"/>
  <c r="AQ19" i="4"/>
  <c r="AL13" i="4"/>
  <c r="AE14" i="4"/>
  <c r="AF14" i="4"/>
  <c r="AG14" i="4"/>
  <c r="AH14" i="4"/>
  <c r="AI14" i="4"/>
  <c r="AE15" i="4"/>
  <c r="AF15" i="4"/>
  <c r="AG15" i="4"/>
  <c r="AH15" i="4"/>
  <c r="AI15" i="4"/>
  <c r="AE16" i="4"/>
  <c r="AF16" i="4"/>
  <c r="AG16" i="4"/>
  <c r="AH16" i="4"/>
  <c r="AI16" i="4"/>
  <c r="AE17" i="4"/>
  <c r="AF17" i="4"/>
  <c r="AG17" i="4"/>
  <c r="AH17" i="4"/>
  <c r="AI17" i="4"/>
  <c r="AE18" i="4"/>
  <c r="AF18" i="4"/>
  <c r="AG18" i="4"/>
  <c r="AH18" i="4"/>
  <c r="AI18" i="4"/>
  <c r="AE19" i="4"/>
  <c r="AF19" i="4"/>
  <c r="AG19" i="4"/>
  <c r="AH19" i="4"/>
  <c r="AI19" i="4"/>
  <c r="AF13" i="4"/>
  <c r="AG13" i="4"/>
  <c r="AH13" i="4"/>
  <c r="AI13" i="4"/>
  <c r="AE13" i="4"/>
  <c r="AE24" i="4"/>
  <c r="AF24" i="4"/>
  <c r="AG24" i="4"/>
  <c r="AH24" i="4"/>
  <c r="AI24" i="4"/>
  <c r="AE25" i="4"/>
  <c r="AF25" i="4"/>
  <c r="AG25" i="4"/>
  <c r="AH25" i="4"/>
  <c r="AI25" i="4"/>
  <c r="AE26" i="4"/>
  <c r="AF26" i="4"/>
  <c r="AG26" i="4"/>
  <c r="AH26" i="4"/>
  <c r="AI26" i="4"/>
  <c r="AE27" i="4"/>
  <c r="AF27" i="4"/>
  <c r="AG27" i="4"/>
  <c r="AI27" i="4"/>
  <c r="AE28" i="4"/>
  <c r="AF28" i="4"/>
  <c r="AG28" i="4"/>
  <c r="AH28" i="4"/>
  <c r="AI28" i="4"/>
  <c r="AE29" i="4"/>
  <c r="AF29" i="4"/>
  <c r="AG29" i="4"/>
  <c r="AH29" i="4"/>
  <c r="AI29" i="4"/>
  <c r="AF23" i="4"/>
  <c r="AG23" i="4"/>
  <c r="AH23" i="4"/>
  <c r="AI23" i="4"/>
  <c r="AE23" i="4"/>
  <c r="AE13" i="3"/>
  <c r="AF13" i="3"/>
  <c r="AG13" i="3"/>
  <c r="AH13" i="3"/>
  <c r="AI13" i="3"/>
  <c r="AE14" i="3"/>
  <c r="AF14" i="3"/>
  <c r="AG14" i="3"/>
  <c r="AH14" i="3"/>
  <c r="AI14" i="3"/>
  <c r="AE15" i="3"/>
  <c r="AF15" i="3"/>
  <c r="AG15" i="3"/>
  <c r="AH15" i="3"/>
  <c r="AF16" i="3"/>
  <c r="AG16" i="3"/>
  <c r="AH16" i="3"/>
  <c r="AI16" i="3"/>
  <c r="AF17" i="3"/>
  <c r="AG17" i="3"/>
  <c r="AH17" i="3"/>
  <c r="AI17" i="3"/>
  <c r="AF18" i="3"/>
  <c r="AG18" i="3"/>
  <c r="AH18" i="3"/>
  <c r="AI18" i="3"/>
  <c r="AF12" i="3"/>
  <c r="AG12" i="3"/>
  <c r="AH12" i="3"/>
  <c r="AI12" i="3"/>
  <c r="AE12" i="3"/>
  <c r="AE22" i="3"/>
  <c r="AF22" i="3"/>
  <c r="AG22" i="3"/>
  <c r="AH22" i="3"/>
  <c r="AI22" i="3"/>
  <c r="AE23" i="3"/>
  <c r="AF23" i="3"/>
  <c r="AG23" i="3"/>
  <c r="AH23" i="3"/>
  <c r="AI23" i="3"/>
  <c r="AE24" i="3"/>
  <c r="AF24" i="3"/>
  <c r="AG24" i="3"/>
  <c r="AH24" i="3"/>
  <c r="AI24" i="3"/>
  <c r="AE25" i="3"/>
  <c r="AF25" i="3"/>
  <c r="AG25" i="3"/>
  <c r="AH25" i="3"/>
  <c r="AI25" i="3"/>
  <c r="AG26" i="3"/>
  <c r="AH26" i="3"/>
  <c r="AI26" i="3"/>
  <c r="AF27" i="3"/>
  <c r="AG27" i="3"/>
  <c r="AH27" i="3"/>
  <c r="AI27" i="3"/>
  <c r="AF21" i="3"/>
  <c r="AG21" i="3"/>
  <c r="AH21" i="3"/>
  <c r="AI21" i="3"/>
  <c r="AE21" i="3"/>
  <c r="AF26" i="2"/>
  <c r="AD21" i="2"/>
  <c r="Y22" i="2"/>
  <c r="Z22" i="2"/>
  <c r="AA22" i="2"/>
  <c r="Y23" i="2"/>
  <c r="Z23" i="2"/>
  <c r="AA23" i="2"/>
  <c r="Y24" i="2"/>
  <c r="Z24" i="2"/>
  <c r="AA24" i="2"/>
  <c r="Y25" i="2"/>
  <c r="Z25" i="2"/>
  <c r="AA25" i="2"/>
  <c r="Y26" i="2"/>
  <c r="Z26" i="2"/>
  <c r="AA26" i="2"/>
  <c r="Y27" i="2"/>
  <c r="Z27" i="2"/>
  <c r="AA27" i="2"/>
  <c r="Z21" i="2"/>
  <c r="AA21" i="2"/>
  <c r="Y21" i="2"/>
  <c r="Y13" i="2"/>
  <c r="Z13" i="2"/>
  <c r="AA13" i="2"/>
  <c r="Y14" i="2"/>
  <c r="Z14" i="2"/>
  <c r="AA14" i="2"/>
  <c r="Y15" i="2"/>
  <c r="Z15" i="2"/>
  <c r="AA15" i="2"/>
  <c r="Y16" i="2"/>
  <c r="Z16" i="2"/>
  <c r="AA16" i="2"/>
  <c r="Y17" i="2"/>
  <c r="Z17" i="2"/>
  <c r="AA17" i="2"/>
  <c r="Y18" i="2"/>
  <c r="Z18" i="2"/>
  <c r="AA18" i="2"/>
  <c r="Z12" i="2"/>
  <c r="AA12" i="2"/>
  <c r="Y12" i="2"/>
  <c r="AO26" i="3"/>
  <c r="AO25" i="3"/>
  <c r="AM25" i="3"/>
  <c r="AL25" i="3"/>
  <c r="AO24" i="3"/>
  <c r="AN24" i="3"/>
  <c r="AM24" i="3"/>
  <c r="AL24" i="3"/>
  <c r="AO23" i="3"/>
  <c r="AO22" i="3"/>
  <c r="AN22" i="3"/>
  <c r="AP21" i="3"/>
  <c r="AO21" i="3"/>
  <c r="AN21" i="3"/>
  <c r="AM21" i="3"/>
  <c r="AL21" i="3"/>
  <c r="AO18" i="3"/>
  <c r="AN18" i="3"/>
  <c r="AM18" i="3"/>
  <c r="AP17" i="3"/>
  <c r="AO17" i="3"/>
  <c r="AN17" i="3"/>
  <c r="AP16" i="3"/>
  <c r="AM16" i="3"/>
  <c r="AO15" i="3"/>
  <c r="AM15" i="3"/>
  <c r="AL15" i="3"/>
  <c r="AP14" i="3"/>
  <c r="AO14" i="3"/>
  <c r="AN14" i="3"/>
  <c r="AM14" i="3"/>
  <c r="AP13" i="3"/>
  <c r="AO13" i="3"/>
  <c r="AN13" i="3"/>
  <c r="AM13" i="3"/>
  <c r="AL13" i="3"/>
  <c r="AO12" i="3"/>
  <c r="AP12" i="3"/>
  <c r="AN12" i="3"/>
  <c r="AM12" i="3"/>
  <c r="AL12" i="3"/>
  <c r="AO27" i="3"/>
  <c r="AL23" i="3"/>
  <c r="AP23" i="3"/>
  <c r="AP22" i="3"/>
  <c r="AP25" i="3"/>
  <c r="AN25" i="3"/>
  <c r="AR25" i="3"/>
  <c r="AM27" i="3"/>
  <c r="AN27" i="3"/>
  <c r="AO16" i="3"/>
  <c r="AM23" i="3"/>
  <c r="AP27" i="3"/>
  <c r="AL14" i="3"/>
  <c r="AR14" i="3"/>
  <c r="AN16" i="3"/>
  <c r="AL22" i="3"/>
  <c r="AR22" i="3"/>
  <c r="AN23" i="3"/>
  <c r="AP26" i="3"/>
  <c r="AN26" i="3"/>
  <c r="AM17" i="3"/>
  <c r="AQ17" i="3"/>
  <c r="AM22" i="3"/>
  <c r="AR13" i="3"/>
  <c r="AQ13" i="3"/>
  <c r="AR21" i="3"/>
  <c r="AQ21" i="3"/>
  <c r="AR12" i="3"/>
  <c r="AQ12" i="3"/>
  <c r="AP18" i="3"/>
  <c r="AQ18" i="3"/>
  <c r="AP24" i="3"/>
  <c r="AR24" i="3"/>
  <c r="AN15" i="3"/>
  <c r="AR15" i="3"/>
  <c r="AQ15" i="3"/>
  <c r="AR17" i="3"/>
  <c r="AR16" i="3"/>
  <c r="AR27" i="3"/>
  <c r="AQ27" i="3"/>
  <c r="AQ25" i="3"/>
  <c r="AQ22" i="3"/>
  <c r="AQ24" i="3"/>
  <c r="AQ23" i="3"/>
  <c r="AR26" i="3"/>
  <c r="AQ16" i="3"/>
  <c r="AQ14" i="3"/>
  <c r="AR23" i="3"/>
  <c r="AQ26" i="3"/>
  <c r="AR18" i="3"/>
  <c r="AO28" i="4"/>
  <c r="AP27" i="4"/>
  <c r="AO27" i="4"/>
  <c r="AN27" i="4"/>
  <c r="AM27" i="4"/>
  <c r="AL27" i="4"/>
  <c r="AO26" i="4"/>
  <c r="AO25" i="4"/>
  <c r="AN25" i="4"/>
  <c r="AO24" i="4"/>
  <c r="AO23" i="4"/>
  <c r="AN23" i="4"/>
  <c r="AO19" i="4"/>
  <c r="AP16" i="4"/>
  <c r="AO16" i="4"/>
  <c r="AN16" i="4"/>
  <c r="AM16" i="4"/>
  <c r="AL16" i="4"/>
  <c r="AM15" i="4"/>
  <c r="AM14" i="4"/>
  <c r="AM25" i="4"/>
  <c r="AN28" i="4"/>
  <c r="AP24" i="4"/>
  <c r="AP29" i="4"/>
  <c r="AP26" i="4"/>
  <c r="AP23" i="4"/>
  <c r="AP28" i="4"/>
  <c r="AP14" i="4"/>
  <c r="AL18" i="4"/>
  <c r="AP25" i="4"/>
  <c r="AM13" i="4"/>
  <c r="AL15" i="4"/>
  <c r="AM18" i="4"/>
  <c r="AP19" i="4"/>
  <c r="AN24" i="4"/>
  <c r="AN13" i="4"/>
  <c r="AR13" i="4"/>
  <c r="AR27" i="4"/>
  <c r="AQ27" i="4"/>
  <c r="AP13" i="4"/>
  <c r="AN15" i="4"/>
  <c r="AL17" i="4"/>
  <c r="AO18" i="4"/>
  <c r="AM24" i="4"/>
  <c r="AL29" i="4"/>
  <c r="AN18" i="4"/>
  <c r="AO15" i="4"/>
  <c r="AP18" i="4"/>
  <c r="AL26" i="4"/>
  <c r="AM29" i="4"/>
  <c r="AP15" i="4"/>
  <c r="AN17" i="4"/>
  <c r="AL19" i="4"/>
  <c r="AL23" i="4"/>
  <c r="AM26" i="4"/>
  <c r="AN29" i="4"/>
  <c r="AL24" i="4"/>
  <c r="AN14" i="4"/>
  <c r="AR16" i="4"/>
  <c r="AQ16" i="4"/>
  <c r="AO17" i="4"/>
  <c r="AM19" i="4"/>
  <c r="AM23" i="4"/>
  <c r="AN26" i="4"/>
  <c r="AL28" i="4"/>
  <c r="AO29" i="4"/>
  <c r="AO13" i="4"/>
  <c r="AO14" i="4"/>
  <c r="AP17" i="4"/>
  <c r="AN19" i="4"/>
  <c r="AL25" i="4"/>
  <c r="AM28" i="4"/>
  <c r="AQ18" i="4"/>
  <c r="AR18" i="4"/>
  <c r="AR14" i="4"/>
  <c r="AQ15" i="4"/>
  <c r="AR15" i="4"/>
  <c r="AR23" i="4"/>
  <c r="AQ23" i="4"/>
  <c r="AR26" i="4"/>
  <c r="AQ26" i="4"/>
  <c r="AR17" i="4"/>
  <c r="AQ17" i="4"/>
  <c r="AR25" i="4"/>
  <c r="AQ25" i="4"/>
  <c r="AR28" i="4"/>
  <c r="AQ28" i="4"/>
  <c r="AR24" i="4"/>
  <c r="AQ24" i="4"/>
  <c r="AQ14" i="4"/>
  <c r="AR29" i="4"/>
  <c r="AQ29" i="4"/>
  <c r="AQ13" i="4"/>
  <c r="AR19" i="4"/>
  <c r="AE26" i="2"/>
  <c r="AD26" i="2"/>
  <c r="AF23" i="2"/>
  <c r="AF18" i="2"/>
  <c r="AE18" i="2"/>
  <c r="AD18" i="2"/>
  <c r="AD16" i="2"/>
  <c r="AF15" i="2"/>
  <c r="AE15" i="2"/>
  <c r="AF14" i="2"/>
  <c r="AE14" i="2"/>
  <c r="AD14" i="2"/>
  <c r="AF13" i="2"/>
  <c r="AD13" i="2"/>
  <c r="AF12" i="2"/>
  <c r="AF27" i="2"/>
  <c r="AE23" i="2"/>
  <c r="AD17" i="2"/>
  <c r="AD12" i="2"/>
  <c r="AE21" i="2"/>
  <c r="AE16" i="2"/>
  <c r="AF21" i="2"/>
  <c r="AE24" i="2"/>
  <c r="AD27" i="2"/>
  <c r="AH18" i="2"/>
  <c r="AG18" i="2"/>
  <c r="AE13" i="2"/>
  <c r="AD24" i="2"/>
  <c r="AH14" i="2"/>
  <c r="AG14" i="2"/>
  <c r="AF16" i="2"/>
  <c r="AD22" i="2"/>
  <c r="AF24" i="2"/>
  <c r="AE27" i="2"/>
  <c r="AG13" i="2"/>
  <c r="AH13" i="2"/>
  <c r="AE22" i="2"/>
  <c r="AE17" i="2"/>
  <c r="AF22" i="2"/>
  <c r="AE25" i="2"/>
  <c r="AH26" i="2"/>
  <c r="AG26" i="2"/>
  <c r="AD25" i="2"/>
  <c r="AE12" i="2"/>
  <c r="AG12" i="2"/>
  <c r="AD15" i="2"/>
  <c r="AF17" i="2"/>
  <c r="AD23" i="2"/>
  <c r="AF25" i="2"/>
  <c r="AH17" i="2"/>
  <c r="AG17" i="2"/>
  <c r="AG16" i="2"/>
  <c r="AG27" i="2"/>
  <c r="AH27" i="2"/>
  <c r="AG21" i="2"/>
  <c r="AH21" i="2"/>
  <c r="AH12" i="2"/>
  <c r="AH24" i="2"/>
  <c r="AG24" i="2"/>
  <c r="AH15" i="2"/>
  <c r="AG15" i="2"/>
  <c r="AG23" i="2"/>
  <c r="AH23" i="2"/>
  <c r="AG25" i="2"/>
  <c r="AH25" i="2"/>
  <c r="AH16" i="2"/>
  <c r="AG22" i="2"/>
  <c r="AH22" i="2"/>
  <c r="L2" i="7"/>
  <c r="M2" i="7"/>
  <c r="L3" i="7"/>
  <c r="M3" i="7"/>
  <c r="L4" i="7"/>
  <c r="M4" i="7"/>
  <c r="L5" i="7"/>
  <c r="M5" i="7"/>
  <c r="L6" i="7"/>
  <c r="M6" i="7"/>
  <c r="L7" i="7"/>
  <c r="M7" i="7"/>
  <c r="L8" i="7"/>
  <c r="M8" i="7"/>
  <c r="L9" i="7"/>
  <c r="M9" i="7"/>
  <c r="L10" i="7"/>
  <c r="M10" i="7"/>
  <c r="L11" i="7"/>
  <c r="M11" i="7"/>
  <c r="L12" i="7"/>
  <c r="M12" i="7"/>
  <c r="L13" i="7"/>
  <c r="M13" i="7"/>
  <c r="L14" i="7"/>
  <c r="M14" i="7"/>
  <c r="L15" i="7"/>
  <c r="M15" i="7"/>
  <c r="L16" i="7"/>
  <c r="M16" i="7"/>
  <c r="L17" i="7"/>
  <c r="M17" i="7"/>
  <c r="L18" i="7"/>
  <c r="M18" i="7"/>
  <c r="L19" i="7"/>
  <c r="M19" i="7"/>
  <c r="L20" i="7"/>
  <c r="M20" i="7"/>
  <c r="L21" i="7"/>
  <c r="M21" i="7"/>
  <c r="L22" i="7"/>
  <c r="M22" i="7"/>
  <c r="L23" i="7"/>
  <c r="M23" i="7"/>
  <c r="L24" i="7"/>
  <c r="M24" i="7"/>
  <c r="L25" i="7"/>
  <c r="M25" i="7"/>
  <c r="L26" i="7"/>
  <c r="M26" i="7"/>
  <c r="L27" i="7"/>
  <c r="M27" i="7"/>
  <c r="L28" i="7"/>
  <c r="M28" i="7"/>
  <c r="L29" i="7"/>
  <c r="M29" i="7"/>
  <c r="L30" i="7"/>
  <c r="M30" i="7"/>
  <c r="L31" i="7"/>
  <c r="M31" i="7"/>
  <c r="L32" i="7"/>
  <c r="M32" i="7"/>
  <c r="L33" i="7"/>
  <c r="M33" i="7"/>
  <c r="L34" i="7"/>
  <c r="M34" i="7"/>
  <c r="L35" i="7"/>
  <c r="M35" i="7"/>
  <c r="L36" i="7"/>
  <c r="M36" i="7"/>
  <c r="L37" i="7"/>
  <c r="M37" i="7"/>
  <c r="L38" i="7"/>
  <c r="M38" i="7"/>
  <c r="L39" i="7"/>
  <c r="M39" i="7"/>
  <c r="L40" i="7"/>
  <c r="M40" i="7"/>
  <c r="L41" i="7"/>
  <c r="M41" i="7"/>
  <c r="L42" i="7"/>
  <c r="M42" i="7"/>
  <c r="L43" i="7"/>
  <c r="M43" i="7"/>
  <c r="L44" i="7"/>
  <c r="M44" i="7"/>
  <c r="L45" i="7"/>
  <c r="M45" i="7"/>
  <c r="L46" i="7"/>
  <c r="M46" i="7"/>
  <c r="L47" i="7"/>
  <c r="M47" i="7"/>
  <c r="L48" i="7"/>
  <c r="M48" i="7"/>
  <c r="L49" i="7"/>
  <c r="M49" i="7"/>
  <c r="L50" i="7"/>
  <c r="M50" i="7"/>
  <c r="K2" i="6"/>
  <c r="L2" i="6"/>
  <c r="K3" i="6"/>
  <c r="L3" i="6"/>
  <c r="K4" i="6"/>
  <c r="L4" i="6"/>
  <c r="K5" i="6"/>
  <c r="L5" i="6"/>
  <c r="K6" i="6"/>
  <c r="L6" i="6"/>
  <c r="K7" i="6"/>
  <c r="L7" i="6"/>
  <c r="K8" i="6"/>
  <c r="L8" i="6"/>
  <c r="K9" i="6"/>
  <c r="L9" i="6"/>
  <c r="K10" i="6"/>
  <c r="L10" i="6"/>
  <c r="K11" i="6"/>
  <c r="L11" i="6"/>
  <c r="K12" i="6"/>
  <c r="L12" i="6"/>
  <c r="K13" i="6"/>
  <c r="L13" i="6"/>
  <c r="K14" i="6"/>
  <c r="L14" i="6"/>
  <c r="K15" i="6"/>
  <c r="L15" i="6"/>
  <c r="K16" i="6"/>
  <c r="L16" i="6"/>
  <c r="K18" i="6"/>
  <c r="L18" i="6"/>
  <c r="K19" i="6"/>
  <c r="L19" i="6"/>
  <c r="K20" i="6"/>
  <c r="L20" i="6"/>
  <c r="K21" i="6"/>
  <c r="L21" i="6"/>
  <c r="K22" i="6"/>
  <c r="L22" i="6"/>
  <c r="K23" i="6"/>
  <c r="L23" i="6"/>
  <c r="K24" i="6"/>
  <c r="L24" i="6"/>
  <c r="K25" i="6"/>
  <c r="L25" i="6"/>
  <c r="K26" i="6"/>
  <c r="L26" i="6"/>
  <c r="K27" i="6"/>
  <c r="L27" i="6"/>
  <c r="K28" i="6"/>
  <c r="L28" i="6"/>
  <c r="K29" i="6"/>
  <c r="L29" i="6"/>
  <c r="K30" i="6"/>
  <c r="L30" i="6"/>
  <c r="K31" i="6"/>
  <c r="L31" i="6"/>
  <c r="K32" i="6"/>
  <c r="L32" i="6"/>
  <c r="K33" i="6"/>
  <c r="L33" i="6"/>
  <c r="K34" i="6"/>
  <c r="L34" i="6"/>
  <c r="K35" i="6"/>
  <c r="L35" i="6"/>
  <c r="K36" i="6"/>
  <c r="L36" i="6"/>
  <c r="K37" i="6"/>
  <c r="L37" i="6"/>
  <c r="K38" i="6"/>
  <c r="L38" i="6"/>
  <c r="K39" i="6"/>
  <c r="L39" i="6"/>
  <c r="K40" i="6"/>
  <c r="L40" i="6"/>
  <c r="K41" i="6"/>
  <c r="L41" i="6"/>
  <c r="K42" i="6"/>
  <c r="L42" i="6"/>
  <c r="K43" i="6"/>
  <c r="L43" i="6"/>
  <c r="K44" i="6"/>
  <c r="L44" i="6"/>
  <c r="K45" i="6"/>
  <c r="L45" i="6"/>
  <c r="K46" i="6"/>
  <c r="L46" i="6"/>
  <c r="K47" i="6"/>
  <c r="L47" i="6"/>
  <c r="K48" i="6"/>
  <c r="L48" i="6"/>
  <c r="K49" i="6"/>
  <c r="L49" i="6"/>
  <c r="F50" i="6"/>
  <c r="G50" i="6"/>
  <c r="K50" i="6"/>
  <c r="H50" i="6"/>
  <c r="I50" i="6"/>
  <c r="L50" i="6"/>
  <c r="B47" i="5"/>
  <c r="K47" i="5"/>
  <c r="L47" i="5"/>
  <c r="B54" i="5"/>
  <c r="K54" i="5"/>
  <c r="L54" i="5"/>
  <c r="B53" i="5"/>
  <c r="K53" i="5"/>
  <c r="L53" i="5"/>
  <c r="B52" i="5"/>
  <c r="B51" i="5"/>
  <c r="B50" i="5"/>
  <c r="K50" i="5"/>
  <c r="L50" i="5"/>
  <c r="B49" i="5"/>
  <c r="K49" i="5"/>
  <c r="L49" i="5"/>
  <c r="B48" i="5"/>
  <c r="B46" i="5"/>
  <c r="B45" i="5"/>
  <c r="K45" i="5"/>
  <c r="L45" i="5"/>
  <c r="B44" i="5"/>
  <c r="K44" i="5"/>
  <c r="L44" i="5"/>
  <c r="B43" i="5"/>
  <c r="B42" i="5"/>
  <c r="B41" i="5"/>
  <c r="K41" i="5"/>
  <c r="L41" i="5"/>
  <c r="B40" i="5"/>
  <c r="K40" i="5"/>
  <c r="L40" i="5"/>
  <c r="B39" i="5"/>
  <c r="B38" i="5"/>
  <c r="B37" i="5"/>
  <c r="K37" i="5"/>
  <c r="L37" i="5"/>
  <c r="B36" i="5"/>
  <c r="K36" i="5"/>
  <c r="L36" i="5"/>
  <c r="B35" i="5"/>
  <c r="B34" i="5"/>
  <c r="B33" i="5"/>
  <c r="K33" i="5"/>
  <c r="L33" i="5"/>
  <c r="B32" i="5"/>
  <c r="K32" i="5"/>
  <c r="L32" i="5"/>
  <c r="B31" i="5"/>
  <c r="B30" i="5"/>
  <c r="B29" i="5"/>
  <c r="K29" i="5"/>
  <c r="L29" i="5"/>
  <c r="B28" i="5"/>
  <c r="K28" i="5"/>
  <c r="L28" i="5"/>
  <c r="B27" i="5"/>
  <c r="B26" i="5"/>
  <c r="B25" i="5"/>
  <c r="K25" i="5"/>
  <c r="L25" i="5"/>
  <c r="B24" i="5"/>
  <c r="K24" i="5"/>
  <c r="L24" i="5"/>
  <c r="B23" i="5"/>
  <c r="B22" i="5"/>
  <c r="B21" i="5"/>
  <c r="K21" i="5"/>
  <c r="L21" i="5"/>
  <c r="B20" i="5"/>
  <c r="K20" i="5"/>
  <c r="L20" i="5"/>
  <c r="B19" i="5"/>
  <c r="B18" i="5"/>
  <c r="B17" i="5"/>
  <c r="K17" i="5"/>
  <c r="L17" i="5"/>
  <c r="B16" i="5"/>
  <c r="K16" i="5"/>
  <c r="L16" i="5"/>
  <c r="B15" i="5"/>
  <c r="B14" i="5"/>
  <c r="B13" i="5"/>
  <c r="K13" i="5"/>
  <c r="L13" i="5"/>
  <c r="B12" i="5"/>
  <c r="K12" i="5"/>
  <c r="L12" i="5"/>
  <c r="B11" i="5"/>
  <c r="B10" i="5"/>
  <c r="B9" i="5"/>
  <c r="K9" i="5"/>
  <c r="L9" i="5"/>
  <c r="B8" i="5"/>
  <c r="K8" i="5"/>
  <c r="L8" i="5"/>
  <c r="B7" i="5"/>
  <c r="B6" i="5"/>
  <c r="K11" i="5"/>
  <c r="L11" i="5"/>
  <c r="K7" i="5"/>
  <c r="L7" i="5"/>
  <c r="K39" i="5"/>
  <c r="L39" i="5"/>
  <c r="K15" i="5"/>
  <c r="L15" i="5"/>
  <c r="K19" i="5"/>
  <c r="L19" i="5"/>
  <c r="K23" i="5"/>
  <c r="L23" i="5"/>
  <c r="K27" i="5"/>
  <c r="L27" i="5"/>
  <c r="K31" i="5"/>
  <c r="L31" i="5"/>
  <c r="K35" i="5"/>
  <c r="L35" i="5"/>
  <c r="K43" i="5"/>
  <c r="L43" i="5"/>
  <c r="K48" i="5"/>
  <c r="L48" i="5"/>
  <c r="K52" i="5"/>
  <c r="L52" i="5"/>
  <c r="K6" i="5"/>
  <c r="L6" i="5"/>
  <c r="K10" i="5"/>
  <c r="L10" i="5"/>
  <c r="K14" i="5"/>
  <c r="L14" i="5"/>
  <c r="K18" i="5"/>
  <c r="L18" i="5"/>
  <c r="K22" i="5"/>
  <c r="L22" i="5"/>
  <c r="K26" i="5"/>
  <c r="L26" i="5"/>
  <c r="K30" i="5"/>
  <c r="L30" i="5"/>
  <c r="K34" i="5"/>
  <c r="L34" i="5"/>
  <c r="K38" i="5"/>
  <c r="L38" i="5"/>
  <c r="K42" i="5"/>
  <c r="L42" i="5"/>
  <c r="K46" i="5"/>
  <c r="L46" i="5"/>
  <c r="K51" i="5"/>
  <c r="L51" i="5"/>
  <c r="F29" i="4"/>
  <c r="M29" i="4"/>
  <c r="E29" i="4"/>
  <c r="L29" i="4"/>
  <c r="D29" i="4"/>
  <c r="K29" i="4"/>
  <c r="C29" i="4"/>
  <c r="J29" i="4"/>
  <c r="B29" i="4"/>
  <c r="I29" i="4"/>
  <c r="F28" i="4"/>
  <c r="M28" i="4"/>
  <c r="E28" i="4"/>
  <c r="L28" i="4"/>
  <c r="D28" i="4"/>
  <c r="K28" i="4"/>
  <c r="C28" i="4"/>
  <c r="J28" i="4"/>
  <c r="B28" i="4"/>
  <c r="I28" i="4"/>
  <c r="F27" i="4"/>
  <c r="M27" i="4"/>
  <c r="E27" i="4"/>
  <c r="L27" i="4"/>
  <c r="D27" i="4"/>
  <c r="K27" i="4"/>
  <c r="C27" i="4"/>
  <c r="J27" i="4"/>
  <c r="B27" i="4"/>
  <c r="I27" i="4"/>
  <c r="F26" i="4"/>
  <c r="M26" i="4"/>
  <c r="E26" i="4"/>
  <c r="L26" i="4"/>
  <c r="D26" i="4"/>
  <c r="K26" i="4"/>
  <c r="C26" i="4"/>
  <c r="J26" i="4"/>
  <c r="B26" i="4"/>
  <c r="I26" i="4"/>
  <c r="F25" i="4"/>
  <c r="M25" i="4"/>
  <c r="E25" i="4"/>
  <c r="L25" i="4"/>
  <c r="D25" i="4"/>
  <c r="K25" i="4"/>
  <c r="C25" i="4"/>
  <c r="J25" i="4"/>
  <c r="B25" i="4"/>
  <c r="I25" i="4"/>
  <c r="F24" i="4"/>
  <c r="M24" i="4"/>
  <c r="E24" i="4"/>
  <c r="L24" i="4"/>
  <c r="D24" i="4"/>
  <c r="K24" i="4"/>
  <c r="C24" i="4"/>
  <c r="J24" i="4"/>
  <c r="B24" i="4"/>
  <c r="I24" i="4"/>
  <c r="F23" i="4"/>
  <c r="M23" i="4"/>
  <c r="E23" i="4"/>
  <c r="L23" i="4"/>
  <c r="D23" i="4"/>
  <c r="K23" i="4"/>
  <c r="C23" i="4"/>
  <c r="J23" i="4"/>
  <c r="B23" i="4"/>
  <c r="I23" i="4"/>
  <c r="F9" i="4"/>
  <c r="M9" i="4"/>
  <c r="E9" i="4"/>
  <c r="L9" i="4"/>
  <c r="D9" i="4"/>
  <c r="K9" i="4"/>
  <c r="C9" i="4"/>
  <c r="J9" i="4"/>
  <c r="B9" i="4"/>
  <c r="I9" i="4"/>
  <c r="F8" i="4"/>
  <c r="M8" i="4"/>
  <c r="E8" i="4"/>
  <c r="L8" i="4"/>
  <c r="D8" i="4"/>
  <c r="K8" i="4"/>
  <c r="C8" i="4"/>
  <c r="J8" i="4"/>
  <c r="B8" i="4"/>
  <c r="I8" i="4"/>
  <c r="F7" i="4"/>
  <c r="M7" i="4"/>
  <c r="E7" i="4"/>
  <c r="L7" i="4"/>
  <c r="D7" i="4"/>
  <c r="K7" i="4"/>
  <c r="R7" i="4"/>
  <c r="C7" i="4"/>
  <c r="J7" i="4"/>
  <c r="B7" i="4"/>
  <c r="I7" i="4"/>
  <c r="P7" i="4"/>
  <c r="F6" i="4"/>
  <c r="M6" i="4"/>
  <c r="E6" i="4"/>
  <c r="L6" i="4"/>
  <c r="D6" i="4"/>
  <c r="K6" i="4"/>
  <c r="C6" i="4"/>
  <c r="J6" i="4"/>
  <c r="B6" i="4"/>
  <c r="I6" i="4"/>
  <c r="F5" i="4"/>
  <c r="M5" i="4"/>
  <c r="E5" i="4"/>
  <c r="L5" i="4"/>
  <c r="D5" i="4"/>
  <c r="K5" i="4"/>
  <c r="C5" i="4"/>
  <c r="J5" i="4"/>
  <c r="B5" i="4"/>
  <c r="I5" i="4"/>
  <c r="F4" i="4"/>
  <c r="M4" i="4"/>
  <c r="E4" i="4"/>
  <c r="L4" i="4"/>
  <c r="J4" i="4"/>
  <c r="D4" i="4"/>
  <c r="K4" i="4"/>
  <c r="C4" i="4"/>
  <c r="B4" i="4"/>
  <c r="I4" i="4"/>
  <c r="F3" i="4"/>
  <c r="M3" i="4"/>
  <c r="E3" i="4"/>
  <c r="L3" i="4"/>
  <c r="D3" i="4"/>
  <c r="K3" i="4"/>
  <c r="C3" i="4"/>
  <c r="J3" i="4"/>
  <c r="B3" i="4"/>
  <c r="I3" i="4"/>
  <c r="F19" i="4"/>
  <c r="M19" i="4"/>
  <c r="E19" i="4"/>
  <c r="L19" i="4"/>
  <c r="D19" i="4"/>
  <c r="K19" i="4"/>
  <c r="C19" i="4"/>
  <c r="J19" i="4"/>
  <c r="B19" i="4"/>
  <c r="I19" i="4"/>
  <c r="F18" i="4"/>
  <c r="M18" i="4"/>
  <c r="E18" i="4"/>
  <c r="L18" i="4"/>
  <c r="D18" i="4"/>
  <c r="K18" i="4"/>
  <c r="C18" i="4"/>
  <c r="J18" i="4"/>
  <c r="B18" i="4"/>
  <c r="I18" i="4"/>
  <c r="F17" i="4"/>
  <c r="M17" i="4"/>
  <c r="E17" i="4"/>
  <c r="L17" i="4"/>
  <c r="D17" i="4"/>
  <c r="K17" i="4"/>
  <c r="C17" i="4"/>
  <c r="J17" i="4"/>
  <c r="B17" i="4"/>
  <c r="I17" i="4"/>
  <c r="P17" i="4"/>
  <c r="F16" i="4"/>
  <c r="M16" i="4"/>
  <c r="E16" i="4"/>
  <c r="L16" i="4"/>
  <c r="D16" i="4"/>
  <c r="K16" i="4"/>
  <c r="C16" i="4"/>
  <c r="J16" i="4"/>
  <c r="B16" i="4"/>
  <c r="I16" i="4"/>
  <c r="F15" i="4"/>
  <c r="M15" i="4"/>
  <c r="E15" i="4"/>
  <c r="L15" i="4"/>
  <c r="D15" i="4"/>
  <c r="K15" i="4"/>
  <c r="C15" i="4"/>
  <c r="J15" i="4"/>
  <c r="B15" i="4"/>
  <c r="I15" i="4"/>
  <c r="F14" i="4"/>
  <c r="M14" i="4"/>
  <c r="E14" i="4"/>
  <c r="L14" i="4"/>
  <c r="D14" i="4"/>
  <c r="K14" i="4"/>
  <c r="C14" i="4"/>
  <c r="J14" i="4"/>
  <c r="Q14" i="4"/>
  <c r="B14" i="4"/>
  <c r="I14" i="4"/>
  <c r="F13" i="4"/>
  <c r="M13" i="4"/>
  <c r="E13" i="4"/>
  <c r="L13" i="4"/>
  <c r="D13" i="4"/>
  <c r="K13" i="4"/>
  <c r="C13" i="4"/>
  <c r="J13" i="4"/>
  <c r="B13" i="4"/>
  <c r="I13" i="4"/>
  <c r="R17" i="4"/>
  <c r="R3" i="4"/>
  <c r="S17" i="4"/>
  <c r="S15" i="4"/>
  <c r="R9" i="4"/>
  <c r="R8" i="4"/>
  <c r="R5" i="4"/>
  <c r="R15" i="4"/>
  <c r="S4" i="4"/>
  <c r="S14" i="4"/>
  <c r="T14" i="4"/>
  <c r="T3" i="4"/>
  <c r="S23" i="4"/>
  <c r="S19" i="4"/>
  <c r="Q5" i="4"/>
  <c r="R6" i="4"/>
  <c r="R13" i="4"/>
  <c r="Q18" i="4"/>
  <c r="R19" i="4"/>
  <c r="Q9" i="4"/>
  <c r="R16" i="4"/>
  <c r="S13" i="4"/>
  <c r="R18" i="4"/>
  <c r="Q26" i="4"/>
  <c r="S27" i="4"/>
  <c r="P4" i="4"/>
  <c r="R29" i="4"/>
  <c r="S6" i="4"/>
  <c r="R28" i="4"/>
  <c r="R24" i="4"/>
  <c r="T6" i="4"/>
  <c r="T23" i="4"/>
  <c r="T7" i="4"/>
  <c r="T29" i="4"/>
  <c r="T16" i="4"/>
  <c r="P15" i="4"/>
  <c r="T15" i="4"/>
  <c r="T18" i="4"/>
  <c r="P5" i="4"/>
  <c r="T5" i="4"/>
  <c r="P6" i="4"/>
  <c r="S7" i="4"/>
  <c r="T9" i="4"/>
  <c r="P23" i="4"/>
  <c r="T13" i="4"/>
  <c r="T17" i="4"/>
  <c r="S8" i="4"/>
  <c r="P25" i="4"/>
  <c r="T25" i="4"/>
  <c r="T28" i="4"/>
  <c r="S29" i="4"/>
  <c r="S18" i="4"/>
  <c r="S3" i="4"/>
  <c r="T4" i="4"/>
  <c r="S5" i="4"/>
  <c r="T8" i="4"/>
  <c r="S28" i="4"/>
  <c r="P14" i="4"/>
  <c r="S16" i="4"/>
  <c r="P19" i="4"/>
  <c r="T19" i="4"/>
  <c r="S24" i="4"/>
  <c r="T26" i="4"/>
  <c r="R27" i="4"/>
  <c r="Q7" i="4"/>
  <c r="Q4" i="4"/>
  <c r="Q13" i="4"/>
  <c r="Q17" i="4"/>
  <c r="Q8" i="4"/>
  <c r="P16" i="4"/>
  <c r="P3" i="4"/>
  <c r="Q6" i="4"/>
  <c r="S9" i="4"/>
  <c r="Q23" i="4"/>
  <c r="T24" i="4"/>
  <c r="R25" i="4"/>
  <c r="V16" i="4"/>
  <c r="Q3" i="4"/>
  <c r="P9" i="4"/>
  <c r="Q24" i="4"/>
  <c r="P24" i="4"/>
  <c r="P26" i="4"/>
  <c r="Q27" i="4"/>
  <c r="P29" i="4"/>
  <c r="P13" i="4"/>
  <c r="Q19" i="4"/>
  <c r="P8" i="4"/>
  <c r="R23" i="4"/>
  <c r="Q25" i="4"/>
  <c r="R26" i="4"/>
  <c r="R14" i="4"/>
  <c r="P18" i="4"/>
  <c r="R4" i="4"/>
  <c r="S25" i="4"/>
  <c r="S26" i="4"/>
  <c r="P27" i="4"/>
  <c r="T27" i="4"/>
  <c r="Q28" i="4"/>
  <c r="P28" i="4"/>
  <c r="Q29" i="4"/>
  <c r="V29" i="4"/>
  <c r="V19" i="4"/>
  <c r="U17" i="4"/>
  <c r="V27" i="4"/>
  <c r="V28" i="4"/>
  <c r="V25" i="4"/>
  <c r="V23" i="4"/>
  <c r="V18" i="4"/>
  <c r="V24" i="4"/>
  <c r="U4" i="4"/>
  <c r="U24" i="4"/>
  <c r="U14" i="4"/>
  <c r="U7" i="4"/>
  <c r="U25" i="4"/>
  <c r="U3" i="4"/>
  <c r="U5" i="4"/>
  <c r="U8" i="4"/>
  <c r="U16" i="4"/>
  <c r="U6" i="4"/>
  <c r="U9" i="4"/>
  <c r="U18" i="4"/>
  <c r="U13" i="4"/>
  <c r="U27" i="4"/>
  <c r="U28" i="4"/>
  <c r="U29" i="4"/>
  <c r="U19" i="4"/>
  <c r="U23" i="4"/>
  <c r="U15" i="4"/>
  <c r="U26" i="4"/>
  <c r="F27" i="3"/>
  <c r="M27" i="3"/>
  <c r="E27" i="3"/>
  <c r="L27" i="3"/>
  <c r="D27" i="3"/>
  <c r="K27" i="3"/>
  <c r="C27" i="3"/>
  <c r="J27" i="3"/>
  <c r="F26" i="3"/>
  <c r="M26" i="3"/>
  <c r="E26" i="3"/>
  <c r="L26" i="3"/>
  <c r="D26" i="3"/>
  <c r="K26" i="3"/>
  <c r="F25" i="3"/>
  <c r="M25" i="3"/>
  <c r="E25" i="3"/>
  <c r="L25" i="3"/>
  <c r="D25" i="3"/>
  <c r="K25" i="3"/>
  <c r="C25" i="3"/>
  <c r="J25" i="3"/>
  <c r="B25" i="3"/>
  <c r="I25" i="3"/>
  <c r="L24" i="3"/>
  <c r="K24" i="3"/>
  <c r="F24" i="3"/>
  <c r="M24" i="3"/>
  <c r="E24" i="3"/>
  <c r="D24" i="3"/>
  <c r="C24" i="3"/>
  <c r="J24" i="3"/>
  <c r="B24" i="3"/>
  <c r="I24" i="3"/>
  <c r="F23" i="3"/>
  <c r="M23" i="3"/>
  <c r="E23" i="3"/>
  <c r="L23" i="3"/>
  <c r="D23" i="3"/>
  <c r="K23" i="3"/>
  <c r="C23" i="3"/>
  <c r="J23" i="3"/>
  <c r="B23" i="3"/>
  <c r="I23" i="3"/>
  <c r="M22" i="3"/>
  <c r="T22" i="3"/>
  <c r="F22" i="3"/>
  <c r="E22" i="3"/>
  <c r="L22" i="3"/>
  <c r="D22" i="3"/>
  <c r="K22" i="3"/>
  <c r="C22" i="3"/>
  <c r="J22" i="3"/>
  <c r="B22" i="3"/>
  <c r="I22" i="3"/>
  <c r="F21" i="3"/>
  <c r="M21" i="3"/>
  <c r="T21" i="3"/>
  <c r="E21" i="3"/>
  <c r="L21" i="3"/>
  <c r="D21" i="3"/>
  <c r="K21" i="3"/>
  <c r="C21" i="3"/>
  <c r="J21" i="3"/>
  <c r="B21" i="3"/>
  <c r="I21" i="3"/>
  <c r="F9" i="3"/>
  <c r="M9" i="3"/>
  <c r="E9" i="3"/>
  <c r="L9" i="3"/>
  <c r="D9" i="3"/>
  <c r="K9" i="3"/>
  <c r="C9" i="3"/>
  <c r="J9" i="3"/>
  <c r="B9" i="3"/>
  <c r="I9" i="3"/>
  <c r="F8" i="3"/>
  <c r="M8" i="3"/>
  <c r="T8" i="3"/>
  <c r="E8" i="3"/>
  <c r="L8" i="3"/>
  <c r="S8" i="3"/>
  <c r="D8" i="3"/>
  <c r="K8" i="3"/>
  <c r="C8" i="3"/>
  <c r="J8" i="3"/>
  <c r="Q8" i="3"/>
  <c r="B8" i="3"/>
  <c r="I8" i="3"/>
  <c r="F7" i="3"/>
  <c r="M7" i="3"/>
  <c r="T7" i="3"/>
  <c r="E7" i="3"/>
  <c r="L7" i="3"/>
  <c r="D7" i="3"/>
  <c r="K7" i="3"/>
  <c r="C7" i="3"/>
  <c r="J7" i="3"/>
  <c r="B7" i="3"/>
  <c r="I7" i="3"/>
  <c r="F6" i="3"/>
  <c r="M6" i="3"/>
  <c r="E6" i="3"/>
  <c r="L6" i="3"/>
  <c r="D6" i="3"/>
  <c r="K6" i="3"/>
  <c r="C6" i="3"/>
  <c r="J6" i="3"/>
  <c r="B6" i="3"/>
  <c r="I6" i="3"/>
  <c r="F5" i="3"/>
  <c r="M5" i="3"/>
  <c r="E5" i="3"/>
  <c r="L5" i="3"/>
  <c r="D5" i="3"/>
  <c r="K5" i="3"/>
  <c r="C5" i="3"/>
  <c r="J5" i="3"/>
  <c r="B5" i="3"/>
  <c r="I5" i="3"/>
  <c r="P4" i="3"/>
  <c r="F4" i="3"/>
  <c r="M4" i="3"/>
  <c r="E4" i="3"/>
  <c r="L4" i="3"/>
  <c r="D4" i="3"/>
  <c r="K4" i="3"/>
  <c r="C4" i="3"/>
  <c r="J4" i="3"/>
  <c r="B4" i="3"/>
  <c r="I4" i="3"/>
  <c r="F3" i="3"/>
  <c r="M3" i="3"/>
  <c r="T3" i="3"/>
  <c r="E3" i="3"/>
  <c r="L3" i="3"/>
  <c r="D3" i="3"/>
  <c r="K3" i="3"/>
  <c r="C3" i="3"/>
  <c r="J3" i="3"/>
  <c r="B3" i="3"/>
  <c r="I3" i="3"/>
  <c r="F18" i="3"/>
  <c r="M18" i="3"/>
  <c r="T18" i="3"/>
  <c r="E18" i="3"/>
  <c r="L18" i="3"/>
  <c r="D18" i="3"/>
  <c r="K18" i="3"/>
  <c r="C18" i="3"/>
  <c r="J18" i="3"/>
  <c r="M17" i="3"/>
  <c r="T17" i="3"/>
  <c r="L17" i="3"/>
  <c r="S17" i="3"/>
  <c r="F17" i="3"/>
  <c r="E17" i="3"/>
  <c r="D17" i="3"/>
  <c r="K17" i="3"/>
  <c r="R17" i="3"/>
  <c r="C17" i="3"/>
  <c r="J17" i="3"/>
  <c r="F16" i="3"/>
  <c r="M16" i="3"/>
  <c r="T16" i="3"/>
  <c r="E16" i="3"/>
  <c r="L16" i="3"/>
  <c r="S16" i="3"/>
  <c r="D16" i="3"/>
  <c r="K16" i="3"/>
  <c r="C16" i="3"/>
  <c r="J16" i="3"/>
  <c r="L15" i="3"/>
  <c r="K15" i="3"/>
  <c r="E15" i="3"/>
  <c r="D15" i="3"/>
  <c r="C15" i="3"/>
  <c r="J15" i="3"/>
  <c r="Q15" i="3"/>
  <c r="B15" i="3"/>
  <c r="I15" i="3"/>
  <c r="F14" i="3"/>
  <c r="M14" i="3"/>
  <c r="T14" i="3"/>
  <c r="E14" i="3"/>
  <c r="L14" i="3"/>
  <c r="D14" i="3"/>
  <c r="K14" i="3"/>
  <c r="R14" i="3"/>
  <c r="C14" i="3"/>
  <c r="J14" i="3"/>
  <c r="B14" i="3"/>
  <c r="I14" i="3"/>
  <c r="F13" i="3"/>
  <c r="M13" i="3"/>
  <c r="T13" i="3"/>
  <c r="E13" i="3"/>
  <c r="L13" i="3"/>
  <c r="S13" i="3"/>
  <c r="D13" i="3"/>
  <c r="K13" i="3"/>
  <c r="C13" i="3"/>
  <c r="J13" i="3"/>
  <c r="B13" i="3"/>
  <c r="I13" i="3"/>
  <c r="P13" i="3"/>
  <c r="F12" i="3"/>
  <c r="M12" i="3"/>
  <c r="E12" i="3"/>
  <c r="L12" i="3"/>
  <c r="D12" i="3"/>
  <c r="K12" i="3"/>
  <c r="C12" i="3"/>
  <c r="J12" i="3"/>
  <c r="B12" i="3"/>
  <c r="I12" i="3"/>
  <c r="Q12" i="3"/>
  <c r="P14" i="3"/>
  <c r="P21" i="3"/>
  <c r="Q7" i="3"/>
  <c r="R9" i="3"/>
  <c r="R23" i="3"/>
  <c r="R24" i="3"/>
  <c r="R4" i="3"/>
  <c r="U4" i="3"/>
  <c r="R12" i="3"/>
  <c r="R5" i="3"/>
  <c r="R13" i="3"/>
  <c r="U13" i="3"/>
  <c r="R27" i="3"/>
  <c r="Q23" i="3"/>
  <c r="Q4" i="3"/>
  <c r="Q17" i="3"/>
  <c r="Q3" i="3"/>
  <c r="Q5" i="3"/>
  <c r="Q22" i="3"/>
  <c r="Q24" i="3"/>
  <c r="Q27" i="3"/>
  <c r="Q14" i="3"/>
  <c r="Q18" i="3"/>
  <c r="S3" i="3"/>
  <c r="P22" i="3"/>
  <c r="Q21" i="3"/>
  <c r="S22" i="3"/>
  <c r="P23" i="3"/>
  <c r="S12" i="3"/>
  <c r="Q13" i="3"/>
  <c r="S14" i="3"/>
  <c r="Q16" i="3"/>
  <c r="S4" i="3"/>
  <c r="P6" i="3"/>
  <c r="T6" i="3"/>
  <c r="Q9" i="3"/>
  <c r="P25" i="3"/>
  <c r="T25" i="3"/>
  <c r="T26" i="3"/>
  <c r="P12" i="3"/>
  <c r="P15" i="3"/>
  <c r="S18" i="3"/>
  <c r="T4" i="3"/>
  <c r="Q6" i="3"/>
  <c r="S7" i="3"/>
  <c r="P8" i="3"/>
  <c r="T23" i="3"/>
  <c r="Q25" i="3"/>
  <c r="R8" i="3"/>
  <c r="R26" i="3"/>
  <c r="R16" i="3"/>
  <c r="R25" i="3"/>
  <c r="R21" i="3"/>
  <c r="R6" i="3"/>
  <c r="R18" i="3"/>
  <c r="R15" i="3"/>
  <c r="R3" i="3"/>
  <c r="R7" i="3"/>
  <c r="R22" i="3"/>
  <c r="S23" i="3"/>
  <c r="S15" i="3"/>
  <c r="S5" i="3"/>
  <c r="S6" i="3"/>
  <c r="S9" i="3"/>
  <c r="S21" i="3"/>
  <c r="S24" i="3"/>
  <c r="S25" i="3"/>
  <c r="T12" i="3"/>
  <c r="P3" i="3"/>
  <c r="P7" i="3"/>
  <c r="S27" i="3"/>
  <c r="P5" i="3"/>
  <c r="T5" i="3"/>
  <c r="P9" i="3"/>
  <c r="T9" i="3"/>
  <c r="P24" i="3"/>
  <c r="T24" i="3"/>
  <c r="S26" i="3"/>
  <c r="T27" i="3"/>
  <c r="U3" i="3"/>
  <c r="U27" i="3"/>
  <c r="U23" i="3"/>
  <c r="U26" i="3"/>
  <c r="U21" i="3"/>
  <c r="U24" i="3"/>
  <c r="U6" i="3"/>
  <c r="U15" i="3"/>
  <c r="U22" i="3"/>
  <c r="U14" i="3"/>
  <c r="U12" i="3"/>
  <c r="U16" i="3"/>
  <c r="U17" i="3"/>
  <c r="U25" i="3"/>
  <c r="U9" i="3"/>
  <c r="U5" i="3"/>
  <c r="U18" i="3"/>
  <c r="U7" i="3"/>
  <c r="U8" i="3"/>
  <c r="D27" i="2"/>
  <c r="I27" i="2"/>
  <c r="C27" i="2"/>
  <c r="H27" i="2"/>
  <c r="B27" i="2"/>
  <c r="G27" i="2"/>
  <c r="D26" i="2"/>
  <c r="I26" i="2"/>
  <c r="C26" i="2"/>
  <c r="H26" i="2"/>
  <c r="B26" i="2"/>
  <c r="G26" i="2"/>
  <c r="D25" i="2"/>
  <c r="I25" i="2"/>
  <c r="C25" i="2"/>
  <c r="H25" i="2"/>
  <c r="B25" i="2"/>
  <c r="G25" i="2"/>
  <c r="G24" i="2"/>
  <c r="D24" i="2"/>
  <c r="I24" i="2"/>
  <c r="C24" i="2"/>
  <c r="H24" i="2"/>
  <c r="B24" i="2"/>
  <c r="D23" i="2"/>
  <c r="I23" i="2"/>
  <c r="C23" i="2"/>
  <c r="H23" i="2"/>
  <c r="B23" i="2"/>
  <c r="G23" i="2"/>
  <c r="D22" i="2"/>
  <c r="I22" i="2"/>
  <c r="C22" i="2"/>
  <c r="H22" i="2"/>
  <c r="B22" i="2"/>
  <c r="G22" i="2"/>
  <c r="D21" i="2"/>
  <c r="I21" i="2"/>
  <c r="C21" i="2"/>
  <c r="H21" i="2"/>
  <c r="B21" i="2"/>
  <c r="G21" i="2"/>
  <c r="G9" i="2"/>
  <c r="D9" i="2"/>
  <c r="I9" i="2"/>
  <c r="C9" i="2"/>
  <c r="H9" i="2"/>
  <c r="B9" i="2"/>
  <c r="D8" i="2"/>
  <c r="I8" i="2"/>
  <c r="N8" i="2"/>
  <c r="C8" i="2"/>
  <c r="H8" i="2"/>
  <c r="M8" i="2"/>
  <c r="B8" i="2"/>
  <c r="G8" i="2"/>
  <c r="L8" i="2"/>
  <c r="D7" i="2"/>
  <c r="I7" i="2"/>
  <c r="C7" i="2"/>
  <c r="H7" i="2"/>
  <c r="B7" i="2"/>
  <c r="G7" i="2"/>
  <c r="D6" i="2"/>
  <c r="I6" i="2"/>
  <c r="C6" i="2"/>
  <c r="H6" i="2"/>
  <c r="B6" i="2"/>
  <c r="G6" i="2"/>
  <c r="D5" i="2"/>
  <c r="I5" i="2"/>
  <c r="N5" i="2"/>
  <c r="C5" i="2"/>
  <c r="H5" i="2"/>
  <c r="B5" i="2"/>
  <c r="G5" i="2"/>
  <c r="D4" i="2"/>
  <c r="I4" i="2"/>
  <c r="C4" i="2"/>
  <c r="H4" i="2"/>
  <c r="B4" i="2"/>
  <c r="G4" i="2"/>
  <c r="D3" i="2"/>
  <c r="I3" i="2"/>
  <c r="C3" i="2"/>
  <c r="H3" i="2"/>
  <c r="B3" i="2"/>
  <c r="G3" i="2"/>
  <c r="D18" i="2"/>
  <c r="I18" i="2"/>
  <c r="C18" i="2"/>
  <c r="H18" i="2"/>
  <c r="B18" i="2"/>
  <c r="G18" i="2"/>
  <c r="D17" i="2"/>
  <c r="I17" i="2"/>
  <c r="C17" i="2"/>
  <c r="H17" i="2"/>
  <c r="B17" i="2"/>
  <c r="G17" i="2"/>
  <c r="L17" i="2"/>
  <c r="D16" i="2"/>
  <c r="I16" i="2"/>
  <c r="N16" i="2"/>
  <c r="C16" i="2"/>
  <c r="H16" i="2"/>
  <c r="B16" i="2"/>
  <c r="G16" i="2"/>
  <c r="D15" i="2"/>
  <c r="I15" i="2"/>
  <c r="C15" i="2"/>
  <c r="H15" i="2"/>
  <c r="B15" i="2"/>
  <c r="G15" i="2"/>
  <c r="D14" i="2"/>
  <c r="I14" i="2"/>
  <c r="C14" i="2"/>
  <c r="H14" i="2"/>
  <c r="B14" i="2"/>
  <c r="G14" i="2"/>
  <c r="D13" i="2"/>
  <c r="I13" i="2"/>
  <c r="N13" i="2"/>
  <c r="C13" i="2"/>
  <c r="H13" i="2"/>
  <c r="B13" i="2"/>
  <c r="G13" i="2"/>
  <c r="D12" i="2"/>
  <c r="I12" i="2"/>
  <c r="C12" i="2"/>
  <c r="H12" i="2"/>
  <c r="B12" i="2"/>
  <c r="G12" i="2"/>
  <c r="O8" i="2"/>
  <c r="L26" i="2"/>
  <c r="L7" i="2"/>
  <c r="M13" i="2"/>
  <c r="M14" i="2"/>
  <c r="M4" i="2"/>
  <c r="M12" i="2"/>
  <c r="M16" i="2"/>
  <c r="L15" i="2"/>
  <c r="L16" i="2"/>
  <c r="L3" i="2"/>
  <c r="L6" i="2"/>
  <c r="M25" i="2"/>
  <c r="L14" i="2"/>
  <c r="M5" i="2"/>
  <c r="M6" i="2"/>
  <c r="M23" i="2"/>
  <c r="M24" i="2"/>
  <c r="M27" i="2"/>
  <c r="M15" i="2"/>
  <c r="M18" i="2"/>
  <c r="M7" i="2"/>
  <c r="M21" i="2"/>
  <c r="M26" i="2"/>
  <c r="M17" i="2"/>
  <c r="M9" i="2"/>
  <c r="L12" i="2"/>
  <c r="M3" i="2"/>
  <c r="O3" i="2"/>
  <c r="L4" i="2"/>
  <c r="M22" i="2"/>
  <c r="L23" i="2"/>
  <c r="N24" i="2"/>
  <c r="N12" i="2"/>
  <c r="N17" i="2"/>
  <c r="N4" i="2"/>
  <c r="N9" i="2"/>
  <c r="L22" i="2"/>
  <c r="N23" i="2"/>
  <c r="L27" i="2"/>
  <c r="L13" i="2"/>
  <c r="N14" i="2"/>
  <c r="L18" i="2"/>
  <c r="N3" i="2"/>
  <c r="L5" i="2"/>
  <c r="N6" i="2"/>
  <c r="L21" i="2"/>
  <c r="N22" i="2"/>
  <c r="L24" i="2"/>
  <c r="N25" i="2"/>
  <c r="N27" i="2"/>
  <c r="N15" i="2"/>
  <c r="N18" i="2"/>
  <c r="N7" i="2"/>
  <c r="L9" i="2"/>
  <c r="N21" i="2"/>
  <c r="L25" i="2"/>
  <c r="N26" i="2"/>
  <c r="O7" i="2"/>
  <c r="O16" i="2"/>
  <c r="O15" i="2"/>
  <c r="O22" i="2"/>
  <c r="O4" i="2"/>
  <c r="O26" i="2"/>
  <c r="O25" i="2"/>
  <c r="O24" i="2"/>
  <c r="O5" i="2"/>
  <c r="O13" i="2"/>
  <c r="O6" i="2"/>
  <c r="O14" i="2"/>
  <c r="O27" i="2"/>
  <c r="O23" i="2"/>
  <c r="O12" i="2"/>
  <c r="O17" i="2"/>
  <c r="O9" i="2"/>
  <c r="O21" i="2"/>
  <c r="O18" i="2"/>
</calcChain>
</file>

<file path=xl/comments1.xml><?xml version="1.0" encoding="utf-8"?>
<comments xmlns="http://schemas.openxmlformats.org/spreadsheetml/2006/main">
  <authors>
    <author>useradmin</author>
  </authors>
  <commentList>
    <comment ref="AG64" authorId="0" shapeId="0">
      <text>
        <r>
          <rPr>
            <b/>
            <sz val="9"/>
            <color indexed="81"/>
            <rFont val="Tahoma"/>
            <family val="2"/>
          </rPr>
          <t>useradmin:</t>
        </r>
        <r>
          <rPr>
            <sz val="9"/>
            <color indexed="81"/>
            <rFont val="Tahoma"/>
            <family val="2"/>
          </rPr>
          <t xml:space="preserve">
Taken from the male insect, like 2h and z3hol</t>
        </r>
      </text>
    </comment>
  </commentList>
</comments>
</file>

<file path=xl/comments2.xml><?xml version="1.0" encoding="utf-8"?>
<comments xmlns="http://schemas.openxmlformats.org/spreadsheetml/2006/main">
  <authors>
    <author>AMC</author>
  </authors>
  <commentList>
    <comment ref="O23" authorId="0" shapeId="0">
      <text>
        <r>
          <rPr>
            <b/>
            <sz val="9"/>
            <color indexed="81"/>
            <rFont val="Tahoma"/>
            <family val="2"/>
          </rPr>
          <t>AMC:</t>
        </r>
        <r>
          <rPr>
            <sz val="9"/>
            <color indexed="81"/>
            <rFont val="Tahoma"/>
            <family val="2"/>
          </rPr>
          <t xml:space="preserve">
Con queste nuove repliche e i loro esani U viene 40&lt;42 a mann whitney U test p&lt;0.01 two tails!</t>
        </r>
      </text>
    </comment>
    <comment ref="AK23" authorId="0" shapeId="0">
      <text>
        <r>
          <rPr>
            <b/>
            <sz val="9"/>
            <color indexed="81"/>
            <rFont val="Tahoma"/>
            <family val="2"/>
          </rPr>
          <t>AMC:</t>
        </r>
        <r>
          <rPr>
            <sz val="9"/>
            <color indexed="81"/>
            <rFont val="Tahoma"/>
            <family val="2"/>
          </rPr>
          <t xml:space="preserve">
Con queste nuove repliche e i loro esani U viene 40&lt;42 a mann whitney U test p&lt;0.01 two tails!</t>
        </r>
      </text>
    </comment>
  </commentList>
</comments>
</file>

<file path=xl/sharedStrings.xml><?xml version="1.0" encoding="utf-8"?>
<sst xmlns="http://schemas.openxmlformats.org/spreadsheetml/2006/main" count="622" uniqueCount="102">
  <si>
    <t>R-carvone</t>
  </si>
  <si>
    <t>Rep1</t>
  </si>
  <si>
    <t xml:space="preserve">Rep2 </t>
  </si>
  <si>
    <t>Rep3</t>
  </si>
  <si>
    <t>Parameter</t>
  </si>
  <si>
    <t>Value</t>
  </si>
  <si>
    <t>StdErr</t>
  </si>
  <si>
    <t>CV(%)</t>
  </si>
  <si>
    <t>Dependencies</t>
  </si>
  <si>
    <t>Fmax</t>
  </si>
  <si>
    <t>Hill coeff.</t>
  </si>
  <si>
    <t>EC50</t>
  </si>
  <si>
    <t>3-octanol</t>
  </si>
  <si>
    <t>z4-nonenal</t>
  </si>
  <si>
    <t>Rep 1</t>
  </si>
  <si>
    <t>Rep 2</t>
  </si>
  <si>
    <t>Rep 3</t>
  </si>
  <si>
    <t>S-linalool</t>
  </si>
  <si>
    <t>Average</t>
  </si>
  <si>
    <t>St.dev</t>
  </si>
  <si>
    <t>Parameters</t>
  </si>
  <si>
    <t>Spikes/s</t>
  </si>
  <si>
    <t>Normalized spikes/s</t>
  </si>
  <si>
    <t>(Z)-4 nonenal</t>
  </si>
  <si>
    <t>Rep4</t>
  </si>
  <si>
    <t>Rep5</t>
  </si>
  <si>
    <t>Hill coeff</t>
  </si>
  <si>
    <t>-</t>
  </si>
  <si>
    <t>Spikes/0.5s</t>
  </si>
  <si>
    <t>Dose-response characteristics</t>
  </si>
  <si>
    <t>2-heptanone</t>
  </si>
  <si>
    <t>Ethyl-3-hydroxy butyrrate</t>
  </si>
  <si>
    <t>Ethyl acetate</t>
  </si>
  <si>
    <t>Ethyl hexanoate</t>
  </si>
  <si>
    <t>Isoamyl acetate</t>
  </si>
  <si>
    <t>Methyl salicilate</t>
  </si>
  <si>
    <t>Decanal</t>
  </si>
  <si>
    <t>Farnesol</t>
  </si>
  <si>
    <t>(Z)-3-hexenol</t>
  </si>
  <si>
    <t>(Z)-3-hexenyl-acetate</t>
  </si>
  <si>
    <t>(E)-2-hexenol</t>
  </si>
  <si>
    <t>(Z)-3-nonenal</t>
  </si>
  <si>
    <t>(Z)-4-nonenal</t>
  </si>
  <si>
    <t>Ethyl lactate</t>
  </si>
  <si>
    <t>Ethyl-(E)-2-methylpent-3 enoate</t>
  </si>
  <si>
    <t>(E)-4-decenal</t>
  </si>
  <si>
    <t>Geranyl acetate</t>
  </si>
  <si>
    <t>4-methylphenol</t>
  </si>
  <si>
    <t>Ethyl-3-hydroxyhexanoate</t>
  </si>
  <si>
    <r>
      <rPr>
        <b/>
        <sz val="11"/>
        <color theme="1"/>
        <rFont val="Calibri"/>
        <family val="2"/>
      </rPr>
      <t>γ-δ-</t>
    </r>
    <r>
      <rPr>
        <b/>
        <sz val="11"/>
        <color theme="1"/>
        <rFont val="Calibri"/>
        <family val="2"/>
        <scheme val="minor"/>
      </rPr>
      <t>dodecalactone</t>
    </r>
  </si>
  <si>
    <t>1,8-cineol</t>
  </si>
  <si>
    <t>(E,E)-2,4-decadienal</t>
  </si>
  <si>
    <t>Limonene oxide</t>
  </si>
  <si>
    <t>L-limonene</t>
  </si>
  <si>
    <t>D-limonene</t>
  </si>
  <si>
    <r>
      <rPr>
        <b/>
        <sz val="11"/>
        <color theme="1"/>
        <rFont val="Calibri"/>
        <family val="2"/>
      </rPr>
      <t>β</t>
    </r>
    <r>
      <rPr>
        <b/>
        <sz val="10.45"/>
        <color theme="1"/>
        <rFont val="Calibri"/>
        <family val="2"/>
      </rPr>
      <t>-</t>
    </r>
    <r>
      <rPr>
        <b/>
        <sz val="11"/>
        <color theme="1"/>
        <rFont val="Calibri"/>
        <family val="2"/>
        <scheme val="minor"/>
      </rPr>
      <t>pinene</t>
    </r>
  </si>
  <si>
    <r>
      <rPr>
        <b/>
        <sz val="11"/>
        <color theme="1"/>
        <rFont val="Calibri"/>
        <family val="2"/>
      </rPr>
      <t>α</t>
    </r>
    <r>
      <rPr>
        <b/>
        <sz val="10.45"/>
        <color theme="1"/>
        <rFont val="Calibri"/>
        <family val="2"/>
      </rPr>
      <t>-</t>
    </r>
    <r>
      <rPr>
        <b/>
        <sz val="11"/>
        <color theme="1"/>
        <rFont val="Calibri"/>
        <family val="2"/>
        <scheme val="minor"/>
      </rPr>
      <t>pinene</t>
    </r>
  </si>
  <si>
    <t>Citral</t>
  </si>
  <si>
    <t>Valencene</t>
  </si>
  <si>
    <t>Linalool oxide</t>
  </si>
  <si>
    <r>
      <t>R-</t>
    </r>
    <r>
      <rPr>
        <b/>
        <sz val="11"/>
        <color theme="1"/>
        <rFont val="Calibri"/>
        <family val="2"/>
      </rPr>
      <t>α</t>
    </r>
    <r>
      <rPr>
        <b/>
        <sz val="10.45"/>
        <color theme="1"/>
        <rFont val="Calibri"/>
        <family val="2"/>
      </rPr>
      <t>-</t>
    </r>
    <r>
      <rPr>
        <b/>
        <sz val="11"/>
        <color theme="1"/>
        <rFont val="Calibri"/>
        <family val="2"/>
        <scheme val="minor"/>
      </rPr>
      <t>terpineol</t>
    </r>
  </si>
  <si>
    <t>R-linalool</t>
  </si>
  <si>
    <t>Undecanal</t>
  </si>
  <si>
    <t>S-α-terpineol</t>
  </si>
  <si>
    <t>(E)-4-undecenal</t>
  </si>
  <si>
    <t>Decanol</t>
  </si>
  <si>
    <t>Citronellol</t>
  </si>
  <si>
    <t>(Z)-4-undecenal</t>
  </si>
  <si>
    <t>Geraniolo</t>
  </si>
  <si>
    <t>S-carvone</t>
  </si>
  <si>
    <t>Rep 4</t>
  </si>
  <si>
    <t>Rep 5</t>
  </si>
  <si>
    <t>Rep 6</t>
  </si>
  <si>
    <t>Rep 7</t>
  </si>
  <si>
    <t>Rep 8</t>
  </si>
  <si>
    <t>Rep 9</t>
  </si>
  <si>
    <r>
      <rPr>
        <b/>
        <sz val="11"/>
        <rFont val="Calibri"/>
        <family val="2"/>
      </rPr>
      <t>γ-δ-</t>
    </r>
    <r>
      <rPr>
        <b/>
        <sz val="11"/>
        <rFont val="Calibri"/>
        <family val="2"/>
        <scheme val="minor"/>
      </rPr>
      <t>dodecalactone</t>
    </r>
  </si>
  <si>
    <t>Rep 10</t>
  </si>
  <si>
    <t>δ-decalactone</t>
  </si>
  <si>
    <t>β-ciclocitrale</t>
  </si>
  <si>
    <t>(E,E)-α-farnesene</t>
  </si>
  <si>
    <t>Compound</t>
  </si>
  <si>
    <t>γ-δ-dodecalactone</t>
  </si>
  <si>
    <r>
      <rPr>
        <b/>
        <sz val="11"/>
        <rFont val="Calibri"/>
        <family val="2"/>
      </rPr>
      <t>β-</t>
    </r>
    <r>
      <rPr>
        <b/>
        <sz val="11"/>
        <rFont val="Calibri"/>
        <family val="2"/>
        <scheme val="minor"/>
      </rPr>
      <t>pinene</t>
    </r>
  </si>
  <si>
    <r>
      <rPr>
        <b/>
        <sz val="11"/>
        <rFont val="Calibri"/>
        <family val="2"/>
      </rPr>
      <t>α-</t>
    </r>
    <r>
      <rPr>
        <b/>
        <sz val="11"/>
        <rFont val="Calibri"/>
        <family val="2"/>
        <scheme val="minor"/>
      </rPr>
      <t>pinene</t>
    </r>
  </si>
  <si>
    <r>
      <t>R-</t>
    </r>
    <r>
      <rPr>
        <b/>
        <sz val="11"/>
        <rFont val="Calibri"/>
        <family val="2"/>
      </rPr>
      <t>α-</t>
    </r>
    <r>
      <rPr>
        <b/>
        <sz val="11"/>
        <rFont val="Calibri"/>
        <family val="2"/>
        <scheme val="minor"/>
      </rPr>
      <t>terpineol</t>
    </r>
  </si>
  <si>
    <t>β-pinene</t>
  </si>
  <si>
    <t>α-pinene</t>
  </si>
  <si>
    <t>R-α-terpineol</t>
  </si>
  <si>
    <t>(Z)-6-undecenal</t>
  </si>
  <si>
    <t>Hexane</t>
  </si>
  <si>
    <t>β-myrcene</t>
  </si>
  <si>
    <t>Std.Error</t>
  </si>
  <si>
    <t>Vapor pressure adjustment:</t>
  </si>
  <si>
    <t>Adjustment to vapor pressure</t>
  </si>
  <si>
    <t>Normalization to saturating dose</t>
  </si>
  <si>
    <t>p</t>
  </si>
  <si>
    <t>U</t>
  </si>
  <si>
    <t>Mann Whitney U-test</t>
  </si>
  <si>
    <t>Significance</t>
  </si>
  <si>
    <t xml:space="preserve">Heterologous expression and functional characterization of Drosophila suzukii OR69a transcript variants unveiled response to kairomones and to a candidate pheromone </t>
  </si>
  <si>
    <r>
      <t xml:space="preserve"> Journal of Pest Science - Alberto Maria Cattaneo(1,2*), Peter Witzgall(1), Charles A. Kwadha(1), Paul G. Becher(1), William B. Walker III(1,3) - (1)SLU- Department of Plant Protection Biology, Chemical Ecology, Lomma - Campus Alnarp (Skåne) Sweden; (2) University of Lausanne, Center for Integrative Genomics - Benton Lab, Lausanne (Vaud) Switzerland; (3) USDA-ARS, Temperate Tree Fruit and Vegetable Research Unit, Wapato WA-USA (*)Corresponding author:</t>
    </r>
    <r>
      <rPr>
        <b/>
        <sz val="11"/>
        <color theme="1"/>
        <rFont val="Calibri"/>
        <family val="2"/>
        <scheme val="minor"/>
      </rPr>
      <t xml:space="preserve"> albertomaria.cattaneo@slu.se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</si>
</sst>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E+00"/>
    <numFmt numFmtId="165" formatCode="0.000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</font>
    <font>
      <b/>
      <sz val="10.45"/>
      <color theme="1"/>
      <name val="Calibri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Fill="1"/>
    <xf numFmtId="11" fontId="0" fillId="0" borderId="0" xfId="0" applyNumberFormat="1"/>
    <xf numFmtId="0" fontId="1" fillId="2" borderId="0" xfId="0" applyFont="1" applyFill="1"/>
    <xf numFmtId="0" fontId="2" fillId="0" borderId="0" xfId="0" applyFont="1" applyFill="1" applyAlignment="1">
      <alignment vertical="center" wrapText="1"/>
    </xf>
    <xf numFmtId="164" fontId="0" fillId="0" borderId="0" xfId="0" applyNumberFormat="1"/>
    <xf numFmtId="0" fontId="0" fillId="0" borderId="0" xfId="0" applyFont="1" applyFill="1"/>
    <xf numFmtId="0" fontId="0" fillId="0" borderId="0" xfId="0" applyBorder="1"/>
    <xf numFmtId="0" fontId="1" fillId="0" borderId="0" xfId="0" applyFont="1" applyFill="1" applyBorder="1"/>
    <xf numFmtId="0" fontId="0" fillId="0" borderId="0" xfId="0" applyFont="1" applyFill="1" applyBorder="1"/>
    <xf numFmtId="0" fontId="1" fillId="0" borderId="0" xfId="0" applyFont="1"/>
    <xf numFmtId="0" fontId="1" fillId="0" borderId="0" xfId="0" applyFont="1" applyFill="1" applyAlignment="1">
      <alignment vertical="center" wrapText="1"/>
    </xf>
    <xf numFmtId="1" fontId="0" fillId="0" borderId="0" xfId="0" applyNumberFormat="1" applyFont="1" applyFill="1" applyBorder="1" applyAlignment="1">
      <alignment vertical="top" wrapText="1"/>
    </xf>
    <xf numFmtId="0" fontId="2" fillId="0" borderId="0" xfId="0" applyFont="1" applyFill="1" applyBorder="1"/>
    <xf numFmtId="0" fontId="7" fillId="0" borderId="0" xfId="0" applyFont="1" applyFill="1" applyBorder="1"/>
    <xf numFmtId="0" fontId="2" fillId="0" borderId="0" xfId="0" applyFont="1" applyBorder="1"/>
    <xf numFmtId="0" fontId="7" fillId="0" borderId="0" xfId="0" applyFont="1" applyBorder="1"/>
    <xf numFmtId="0" fontId="7" fillId="0" borderId="0" xfId="0" applyFont="1"/>
    <xf numFmtId="1" fontId="0" fillId="0" borderId="0" xfId="0" applyNumberFormat="1" applyFont="1"/>
    <xf numFmtId="1" fontId="0" fillId="0" borderId="0" xfId="0" applyNumberFormat="1" applyFont="1" applyFill="1"/>
    <xf numFmtId="0" fontId="0" fillId="0" borderId="0" xfId="0" applyFont="1"/>
    <xf numFmtId="1" fontId="0" fillId="0" borderId="0" xfId="0" quotePrefix="1" applyNumberFormat="1" applyFont="1"/>
    <xf numFmtId="1" fontId="9" fillId="0" borderId="0" xfId="0" applyNumberFormat="1" applyFont="1" applyFill="1" applyBorder="1" applyAlignment="1">
      <alignment vertical="top" wrapText="1"/>
    </xf>
    <xf numFmtId="1" fontId="10" fillId="0" borderId="0" xfId="0" applyNumberFormat="1" applyFont="1" applyFill="1" applyBorder="1" applyAlignment="1">
      <alignment vertical="top" wrapText="1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2" fontId="0" fillId="0" borderId="0" xfId="0" applyNumberFormat="1"/>
    <xf numFmtId="2" fontId="2" fillId="0" borderId="0" xfId="0" applyNumberFormat="1" applyFont="1" applyBorder="1"/>
    <xf numFmtId="2" fontId="2" fillId="0" borderId="0" xfId="0" applyNumberFormat="1" applyFont="1" applyFill="1" applyBorder="1"/>
    <xf numFmtId="2" fontId="0" fillId="0" borderId="0" xfId="0" applyNumberFormat="1" applyFont="1"/>
    <xf numFmtId="165" fontId="0" fillId="0" borderId="0" xfId="0" applyNumberFormat="1" applyFont="1"/>
    <xf numFmtId="0" fontId="0" fillId="0" borderId="0" xfId="0" applyFont="1" applyAlignment="1">
      <alignment horizontal="center"/>
    </xf>
    <xf numFmtId="1" fontId="10" fillId="0" borderId="0" xfId="0" applyNumberFormat="1" applyFont="1" applyFill="1" applyBorder="1" applyAlignment="1">
      <alignment horizontal="center" vertical="top" wrapText="1"/>
    </xf>
    <xf numFmtId="1" fontId="0" fillId="0" borderId="0" xfId="0" applyNumberFormat="1" applyFont="1" applyAlignment="1">
      <alignment horizontal="center"/>
    </xf>
    <xf numFmtId="1" fontId="0" fillId="0" borderId="0" xfId="0" applyNumberFormat="1" applyFont="1" applyFill="1" applyAlignment="1">
      <alignment horizontal="center"/>
    </xf>
    <xf numFmtId="0" fontId="11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165" fontId="2" fillId="0" borderId="0" xfId="0" applyNumberFormat="1" applyFont="1" applyBorder="1"/>
    <xf numFmtId="0" fontId="0" fillId="0" borderId="0" xfId="0" applyAlignment="1">
      <alignment horizontal="center"/>
    </xf>
    <xf numFmtId="165" fontId="0" fillId="0" borderId="0" xfId="0" applyNumberFormat="1"/>
    <xf numFmtId="1" fontId="0" fillId="0" borderId="0" xfId="0" applyNumberFormat="1" applyFont="1" applyFill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1" fontId="0" fillId="0" borderId="0" xfId="0" applyNumberFormat="1" applyFont="1" applyFill="1" applyBorder="1" applyAlignment="1">
      <alignment horizontal="center" vertical="top" wrapText="1"/>
    </xf>
    <xf numFmtId="1" fontId="1" fillId="0" borderId="0" xfId="0" applyNumberFormat="1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D67"/>
  <sheetViews>
    <sheetView tabSelected="1" zoomScale="70" zoomScaleNormal="70" workbookViewId="0">
      <selection activeCell="S15" sqref="S15"/>
    </sheetView>
  </sheetViews>
  <sheetFormatPr defaultColWidth="9.109375" defaultRowHeight="14.4" x14ac:dyDescent="0.3"/>
  <cols>
    <col min="1" max="1" width="30.6640625" style="12" customWidth="1"/>
    <col min="2" max="2" width="15.6640625" style="12" customWidth="1"/>
    <col min="3" max="10" width="15.6640625" style="18" customWidth="1"/>
    <col min="11" max="12" width="15.6640625" style="20" customWidth="1"/>
    <col min="13" max="14" width="9.109375" style="20"/>
    <col min="15" max="15" width="11.33203125" style="32" customWidth="1"/>
    <col min="16" max="16384" width="9.109375" style="20"/>
  </cols>
  <sheetData>
    <row r="1" spans="1:82" ht="14.4" customHeight="1" x14ac:dyDescent="0.3">
      <c r="A1" s="45" t="s">
        <v>100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</row>
    <row r="2" spans="1:82" ht="14.4" customHeight="1" x14ac:dyDescent="0.3">
      <c r="A2" s="44" t="s">
        <v>101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</row>
    <row r="3" spans="1:82" ht="14.4" customHeight="1" x14ac:dyDescent="0.3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</row>
    <row r="4" spans="1:82" ht="14.4" customHeight="1" x14ac:dyDescent="0.3"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</row>
    <row r="5" spans="1:82" s="10" customFormat="1" x14ac:dyDescent="0.3">
      <c r="A5" s="14" t="s">
        <v>81</v>
      </c>
      <c r="B5" s="22" t="s">
        <v>14</v>
      </c>
      <c r="C5" s="22" t="s">
        <v>15</v>
      </c>
      <c r="D5" s="22" t="s">
        <v>16</v>
      </c>
      <c r="E5" s="22" t="s">
        <v>70</v>
      </c>
      <c r="F5" s="22" t="s">
        <v>71</v>
      </c>
      <c r="G5" s="22" t="s">
        <v>72</v>
      </c>
      <c r="H5" s="22" t="s">
        <v>73</v>
      </c>
      <c r="I5" s="22" t="s">
        <v>74</v>
      </c>
      <c r="J5" s="22" t="s">
        <v>75</v>
      </c>
      <c r="K5" s="10" t="s">
        <v>18</v>
      </c>
      <c r="L5" s="10" t="s">
        <v>19</v>
      </c>
      <c r="M5" s="43" t="s">
        <v>98</v>
      </c>
      <c r="N5" s="43"/>
      <c r="O5" s="43"/>
    </row>
    <row r="6" spans="1:82" x14ac:dyDescent="0.3">
      <c r="A6" s="10" t="s">
        <v>90</v>
      </c>
      <c r="B6" s="23">
        <f>1-4</f>
        <v>-3</v>
      </c>
      <c r="C6" s="18">
        <v>-5</v>
      </c>
      <c r="D6" s="18">
        <v>-2</v>
      </c>
      <c r="E6" s="18">
        <v>11</v>
      </c>
      <c r="F6" s="18">
        <v>-7</v>
      </c>
      <c r="G6" s="18">
        <v>1</v>
      </c>
      <c r="H6" s="19">
        <v>-5</v>
      </c>
      <c r="I6" s="18">
        <v>2</v>
      </c>
      <c r="J6" s="18">
        <v>-3</v>
      </c>
      <c r="K6" s="30">
        <f>AVERAGE(B6:J6)</f>
        <v>-1.2222222222222223</v>
      </c>
      <c r="L6" s="30">
        <f>STDEV(B6:K6)</f>
        <v>5.0941748383767331</v>
      </c>
      <c r="M6" s="36" t="s">
        <v>96</v>
      </c>
      <c r="N6" s="26" t="s">
        <v>97</v>
      </c>
      <c r="O6" s="26" t="s">
        <v>99</v>
      </c>
    </row>
    <row r="7" spans="1:82" x14ac:dyDescent="0.3">
      <c r="A7" s="10" t="s">
        <v>30</v>
      </c>
      <c r="B7" s="23">
        <f>7-3</f>
        <v>4</v>
      </c>
      <c r="C7" s="18">
        <v>9</v>
      </c>
      <c r="D7" s="18">
        <v>16</v>
      </c>
      <c r="E7" s="18">
        <v>68</v>
      </c>
      <c r="F7" s="18">
        <v>27</v>
      </c>
      <c r="G7" s="18">
        <v>26</v>
      </c>
      <c r="H7" s="19">
        <v>23</v>
      </c>
      <c r="I7" s="18">
        <v>19</v>
      </c>
      <c r="J7" s="18">
        <v>16</v>
      </c>
      <c r="K7" s="30">
        <f t="shared" ref="K7:K54" si="0">AVERAGE(B7:J7)</f>
        <v>23.111111111111111</v>
      </c>
      <c r="L7" s="30">
        <f t="shared" ref="L7:L54" si="1">STDEV(B7:K7)</f>
        <v>17.387380126238718</v>
      </c>
      <c r="M7" s="31">
        <v>7.7999999999999999E-4</v>
      </c>
      <c r="N7" s="30">
        <v>2</v>
      </c>
      <c r="O7" s="32" t="str">
        <f>IF(M7&lt;0.01,"*"," ")</f>
        <v>*</v>
      </c>
    </row>
    <row r="8" spans="1:82" x14ac:dyDescent="0.3">
      <c r="A8" s="10" t="s">
        <v>31</v>
      </c>
      <c r="B8" s="23">
        <f>3-4</f>
        <v>-1</v>
      </c>
      <c r="C8" s="18">
        <v>-9</v>
      </c>
      <c r="D8" s="18">
        <v>-4</v>
      </c>
      <c r="E8" s="18">
        <v>28</v>
      </c>
      <c r="F8" s="18">
        <v>-1</v>
      </c>
      <c r="G8" s="18">
        <v>-1</v>
      </c>
      <c r="H8" s="19">
        <v>-3</v>
      </c>
      <c r="I8" s="18">
        <v>0</v>
      </c>
      <c r="J8" s="18">
        <v>-2</v>
      </c>
      <c r="K8" s="30">
        <f t="shared" si="0"/>
        <v>0.77777777777777779</v>
      </c>
      <c r="L8" s="30">
        <f t="shared" si="1"/>
        <v>9.9529758562483064</v>
      </c>
      <c r="M8" s="31">
        <v>0.68915999999999999</v>
      </c>
      <c r="N8" s="30">
        <v>35.5</v>
      </c>
      <c r="O8" s="32" t="str">
        <f t="shared" ref="O8:O54" si="2">IF(M8&lt;0.01,"*"," ")</f>
        <v xml:space="preserve"> </v>
      </c>
    </row>
    <row r="9" spans="1:82" x14ac:dyDescent="0.3">
      <c r="A9" s="10" t="s">
        <v>32</v>
      </c>
      <c r="B9" s="23">
        <f>2-6</f>
        <v>-4</v>
      </c>
      <c r="C9" s="18">
        <v>-1</v>
      </c>
      <c r="D9" s="18">
        <v>-4</v>
      </c>
      <c r="E9" s="18">
        <v>26</v>
      </c>
      <c r="F9" s="18">
        <v>-5</v>
      </c>
      <c r="G9" s="18">
        <v>-4</v>
      </c>
      <c r="H9" s="19">
        <v>15</v>
      </c>
      <c r="I9" s="18">
        <v>-1</v>
      </c>
      <c r="J9" s="18">
        <v>-2</v>
      </c>
      <c r="K9" s="30">
        <f t="shared" si="0"/>
        <v>2.2222222222222223</v>
      </c>
      <c r="L9" s="30">
        <f t="shared" si="1"/>
        <v>10.195617552848411</v>
      </c>
      <c r="M9" s="31">
        <v>0.62414000000000003</v>
      </c>
      <c r="N9" s="30">
        <v>34.5</v>
      </c>
      <c r="O9" s="32" t="str">
        <f t="shared" si="2"/>
        <v xml:space="preserve"> </v>
      </c>
    </row>
    <row r="10" spans="1:82" x14ac:dyDescent="0.3">
      <c r="A10" s="10" t="s">
        <v>33</v>
      </c>
      <c r="B10" s="23">
        <f>11-4</f>
        <v>7</v>
      </c>
      <c r="C10" s="18">
        <v>5</v>
      </c>
      <c r="D10" s="18">
        <v>11</v>
      </c>
      <c r="E10" s="18">
        <v>38</v>
      </c>
      <c r="F10" s="18">
        <v>12</v>
      </c>
      <c r="G10" s="18">
        <v>11</v>
      </c>
      <c r="H10" s="19">
        <v>12</v>
      </c>
      <c r="I10" s="18">
        <v>17</v>
      </c>
      <c r="J10" s="18">
        <v>16</v>
      </c>
      <c r="K10" s="30">
        <f t="shared" si="0"/>
        <v>14.333333333333334</v>
      </c>
      <c r="L10" s="30">
        <f t="shared" si="1"/>
        <v>9.0921211313239017</v>
      </c>
      <c r="M10" s="31">
        <v>1.08E-3</v>
      </c>
      <c r="N10" s="30">
        <v>3</v>
      </c>
      <c r="O10" s="32" t="str">
        <f t="shared" si="2"/>
        <v>*</v>
      </c>
    </row>
    <row r="11" spans="1:82" x14ac:dyDescent="0.3">
      <c r="A11" s="10" t="s">
        <v>34</v>
      </c>
      <c r="B11" s="23">
        <f>4-4</f>
        <v>0</v>
      </c>
      <c r="C11" s="18">
        <v>5</v>
      </c>
      <c r="D11" s="18">
        <v>17</v>
      </c>
      <c r="E11" s="18">
        <v>30</v>
      </c>
      <c r="F11" s="18">
        <v>12</v>
      </c>
      <c r="G11" s="18">
        <v>14</v>
      </c>
      <c r="H11" s="19">
        <v>-11</v>
      </c>
      <c r="I11" s="18">
        <v>13</v>
      </c>
      <c r="J11" s="18">
        <v>22</v>
      </c>
      <c r="K11" s="30">
        <f t="shared" si="0"/>
        <v>11.333333333333334</v>
      </c>
      <c r="L11" s="30">
        <f t="shared" si="1"/>
        <v>11.411495179082459</v>
      </c>
      <c r="M11" s="31">
        <v>0.17319999999999999</v>
      </c>
      <c r="N11" s="30">
        <v>13</v>
      </c>
      <c r="O11" s="32" t="str">
        <f t="shared" si="2"/>
        <v xml:space="preserve"> </v>
      </c>
    </row>
    <row r="12" spans="1:82" x14ac:dyDescent="0.3">
      <c r="A12" s="10" t="s">
        <v>35</v>
      </c>
      <c r="B12" s="23">
        <f>5-7</f>
        <v>-2</v>
      </c>
      <c r="C12" s="18">
        <v>-1</v>
      </c>
      <c r="D12" s="18">
        <v>-3</v>
      </c>
      <c r="E12" s="18">
        <v>17</v>
      </c>
      <c r="F12" s="18">
        <v>-2</v>
      </c>
      <c r="G12" s="18">
        <v>-1</v>
      </c>
      <c r="H12" s="19">
        <v>-2</v>
      </c>
      <c r="I12" s="18">
        <v>0</v>
      </c>
      <c r="J12" s="18">
        <v>-1</v>
      </c>
      <c r="K12" s="30">
        <f t="shared" si="0"/>
        <v>0.55555555555555558</v>
      </c>
      <c r="L12" s="30">
        <f t="shared" si="1"/>
        <v>5.871042139387959</v>
      </c>
      <c r="M12" s="31">
        <v>0.27134000000000003</v>
      </c>
      <c r="N12" s="30">
        <v>27.5</v>
      </c>
      <c r="O12" s="32" t="str">
        <f t="shared" si="2"/>
        <v xml:space="preserve"> </v>
      </c>
    </row>
    <row r="13" spans="1:82" x14ac:dyDescent="0.3">
      <c r="A13" s="10" t="s">
        <v>36</v>
      </c>
      <c r="B13" s="23">
        <f>6-3</f>
        <v>3</v>
      </c>
      <c r="C13" s="18">
        <v>4</v>
      </c>
      <c r="D13" s="18">
        <v>5</v>
      </c>
      <c r="E13" s="18">
        <v>20</v>
      </c>
      <c r="F13" s="18">
        <v>4</v>
      </c>
      <c r="G13" s="18">
        <v>14</v>
      </c>
      <c r="H13" s="19">
        <v>12</v>
      </c>
      <c r="I13" s="18">
        <v>12</v>
      </c>
      <c r="J13" s="18">
        <v>10</v>
      </c>
      <c r="K13" s="30">
        <f t="shared" si="0"/>
        <v>9.3333333333333339</v>
      </c>
      <c r="L13" s="30">
        <f t="shared" si="1"/>
        <v>5.4365021434333647</v>
      </c>
      <c r="M13" s="31">
        <v>2E-3</v>
      </c>
      <c r="N13" s="30">
        <v>5</v>
      </c>
      <c r="O13" s="32" t="str">
        <f t="shared" si="2"/>
        <v>*</v>
      </c>
    </row>
    <row r="14" spans="1:82" x14ac:dyDescent="0.3">
      <c r="A14" s="10" t="s">
        <v>37</v>
      </c>
      <c r="B14" s="23">
        <f>3-6</f>
        <v>-3</v>
      </c>
      <c r="C14" s="18">
        <v>-1</v>
      </c>
      <c r="D14" s="18">
        <v>-3</v>
      </c>
      <c r="E14" s="18">
        <v>23</v>
      </c>
      <c r="F14" s="18">
        <v>-1</v>
      </c>
      <c r="G14" s="18">
        <v>0</v>
      </c>
      <c r="H14" s="19">
        <v>0</v>
      </c>
      <c r="I14" s="18">
        <v>-2</v>
      </c>
      <c r="J14" s="18">
        <v>-4</v>
      </c>
      <c r="K14" s="30">
        <f t="shared" si="0"/>
        <v>1</v>
      </c>
      <c r="L14" s="30">
        <f t="shared" si="1"/>
        <v>7.8881063774661548</v>
      </c>
      <c r="M14" s="31">
        <v>0.45326</v>
      </c>
      <c r="N14" s="30">
        <v>31.5</v>
      </c>
      <c r="O14" s="32" t="str">
        <f t="shared" si="2"/>
        <v xml:space="preserve"> </v>
      </c>
    </row>
    <row r="15" spans="1:82" x14ac:dyDescent="0.3">
      <c r="A15" s="10" t="s">
        <v>80</v>
      </c>
      <c r="B15" s="23">
        <f>5-3</f>
        <v>2</v>
      </c>
      <c r="C15" s="18">
        <v>-1</v>
      </c>
      <c r="D15" s="18">
        <v>-6</v>
      </c>
      <c r="E15" s="18">
        <v>18</v>
      </c>
      <c r="F15" s="18">
        <v>-1</v>
      </c>
      <c r="G15" s="18">
        <v>-1</v>
      </c>
      <c r="H15" s="19">
        <v>-4</v>
      </c>
      <c r="I15" s="18">
        <v>2</v>
      </c>
      <c r="J15" s="18">
        <v>-1</v>
      </c>
      <c r="K15" s="30">
        <f t="shared" si="0"/>
        <v>0.88888888888888884</v>
      </c>
      <c r="L15" s="30">
        <f t="shared" si="1"/>
        <v>6.505458297024199</v>
      </c>
      <c r="M15" s="31">
        <v>0.33204</v>
      </c>
      <c r="N15" s="30">
        <v>29</v>
      </c>
      <c r="O15" s="32" t="str">
        <f t="shared" si="2"/>
        <v xml:space="preserve"> </v>
      </c>
    </row>
    <row r="16" spans="1:82" x14ac:dyDescent="0.3">
      <c r="A16" s="10" t="s">
        <v>91</v>
      </c>
      <c r="B16" s="23">
        <f>4-4</f>
        <v>0</v>
      </c>
      <c r="C16" s="18">
        <v>0</v>
      </c>
      <c r="D16" s="18">
        <v>0</v>
      </c>
      <c r="E16" s="18">
        <v>15</v>
      </c>
      <c r="F16" s="18">
        <v>0</v>
      </c>
      <c r="G16" s="18">
        <v>0</v>
      </c>
      <c r="H16" s="19">
        <v>1</v>
      </c>
      <c r="I16" s="18">
        <v>-2</v>
      </c>
      <c r="J16" s="18">
        <v>2</v>
      </c>
      <c r="K16" s="30">
        <f t="shared" si="0"/>
        <v>1.7777777777777777</v>
      </c>
      <c r="L16" s="30">
        <f t="shared" si="1"/>
        <v>4.7790695928014593</v>
      </c>
      <c r="M16" s="31">
        <v>0.12114</v>
      </c>
      <c r="N16" s="30">
        <v>22.5</v>
      </c>
      <c r="O16" s="32" t="str">
        <f t="shared" si="2"/>
        <v xml:space="preserve"> </v>
      </c>
    </row>
    <row r="17" spans="1:15" x14ac:dyDescent="0.3">
      <c r="A17" s="10" t="s">
        <v>38</v>
      </c>
      <c r="B17" s="23">
        <f>3-5</f>
        <v>-2</v>
      </c>
      <c r="C17" s="18">
        <v>7</v>
      </c>
      <c r="D17" s="18">
        <v>10</v>
      </c>
      <c r="E17" s="18">
        <v>35</v>
      </c>
      <c r="F17" s="18">
        <v>29</v>
      </c>
      <c r="G17" s="18">
        <v>18</v>
      </c>
      <c r="H17" s="19">
        <v>18</v>
      </c>
      <c r="I17" s="18">
        <v>9</v>
      </c>
      <c r="J17" s="18">
        <v>5</v>
      </c>
      <c r="K17" s="30">
        <f t="shared" si="0"/>
        <v>14.333333333333334</v>
      </c>
      <c r="L17" s="30">
        <f t="shared" si="1"/>
        <v>11.175369742826804</v>
      </c>
      <c r="M17" s="31">
        <v>4.1000000000000003E-3</v>
      </c>
      <c r="N17" s="30">
        <v>7.5</v>
      </c>
      <c r="O17" s="32" t="str">
        <f t="shared" si="2"/>
        <v>*</v>
      </c>
    </row>
    <row r="18" spans="1:15" x14ac:dyDescent="0.3">
      <c r="A18" s="10" t="s">
        <v>39</v>
      </c>
      <c r="B18" s="23">
        <f>15-10</f>
        <v>5</v>
      </c>
      <c r="C18" s="18">
        <v>20</v>
      </c>
      <c r="D18" s="18">
        <v>29</v>
      </c>
      <c r="E18" s="18">
        <v>39</v>
      </c>
      <c r="F18" s="18">
        <v>19</v>
      </c>
      <c r="G18" s="18">
        <v>20</v>
      </c>
      <c r="H18" s="19">
        <v>18</v>
      </c>
      <c r="I18" s="18">
        <v>31</v>
      </c>
      <c r="J18" s="18">
        <v>25</v>
      </c>
      <c r="K18" s="30">
        <f t="shared" si="0"/>
        <v>22.888888888888889</v>
      </c>
      <c r="L18" s="30">
        <f t="shared" si="1"/>
        <v>9.0853293763376186</v>
      </c>
      <c r="M18" s="31">
        <v>5.8E-4</v>
      </c>
      <c r="N18" s="30">
        <v>1</v>
      </c>
      <c r="O18" s="32" t="str">
        <f t="shared" si="2"/>
        <v>*</v>
      </c>
    </row>
    <row r="19" spans="1:15" x14ac:dyDescent="0.3">
      <c r="A19" s="10" t="s">
        <v>40</v>
      </c>
      <c r="B19" s="23">
        <f>3-5</f>
        <v>-2</v>
      </c>
      <c r="C19" s="18">
        <v>-1</v>
      </c>
      <c r="D19" s="18">
        <v>1</v>
      </c>
      <c r="E19" s="18">
        <v>29</v>
      </c>
      <c r="F19" s="18">
        <v>0</v>
      </c>
      <c r="G19" s="18">
        <v>1</v>
      </c>
      <c r="H19" s="19">
        <v>25</v>
      </c>
      <c r="I19" s="18">
        <v>-1</v>
      </c>
      <c r="J19" s="18">
        <v>3</v>
      </c>
      <c r="K19" s="30">
        <f t="shared" si="0"/>
        <v>6.1111111111111107</v>
      </c>
      <c r="L19" s="30">
        <f t="shared" si="1"/>
        <v>11.288582673012238</v>
      </c>
      <c r="M19" s="31">
        <v>5.7439999999999998E-2</v>
      </c>
      <c r="N19" s="30">
        <v>18.5</v>
      </c>
      <c r="O19" s="32" t="str">
        <f t="shared" si="2"/>
        <v xml:space="preserve"> </v>
      </c>
    </row>
    <row r="20" spans="1:15" x14ac:dyDescent="0.3">
      <c r="A20" s="10" t="s">
        <v>41</v>
      </c>
      <c r="B20" s="23">
        <f>6-5</f>
        <v>1</v>
      </c>
      <c r="C20" s="18">
        <v>-2</v>
      </c>
      <c r="D20" s="18">
        <v>-1</v>
      </c>
      <c r="E20" s="18">
        <v>23</v>
      </c>
      <c r="F20" s="18">
        <v>1</v>
      </c>
      <c r="G20" s="18">
        <v>1</v>
      </c>
      <c r="H20" s="18">
        <v>19</v>
      </c>
      <c r="I20" s="18">
        <v>8</v>
      </c>
      <c r="J20" s="18">
        <v>6</v>
      </c>
      <c r="K20" s="30">
        <f t="shared" si="0"/>
        <v>6.2222222222222223</v>
      </c>
      <c r="L20" s="30">
        <f t="shared" si="1"/>
        <v>8.4954599349401221</v>
      </c>
      <c r="M20" s="31">
        <v>3.4000000000000002E-2</v>
      </c>
      <c r="N20" s="30">
        <v>16</v>
      </c>
      <c r="O20" s="32" t="str">
        <f t="shared" si="2"/>
        <v xml:space="preserve"> </v>
      </c>
    </row>
    <row r="21" spans="1:15" x14ac:dyDescent="0.3">
      <c r="A21" s="10" t="s">
        <v>42</v>
      </c>
      <c r="B21" s="23">
        <f>6-4</f>
        <v>2</v>
      </c>
      <c r="C21" s="18">
        <v>5</v>
      </c>
      <c r="D21" s="18">
        <v>11</v>
      </c>
      <c r="E21" s="18">
        <v>30</v>
      </c>
      <c r="F21" s="18">
        <v>6</v>
      </c>
      <c r="G21" s="18">
        <v>14</v>
      </c>
      <c r="H21" s="18">
        <v>24</v>
      </c>
      <c r="I21" s="18">
        <v>15</v>
      </c>
      <c r="J21" s="18">
        <v>9</v>
      </c>
      <c r="K21" s="30">
        <f t="shared" si="0"/>
        <v>12.888888888888889</v>
      </c>
      <c r="L21" s="30">
        <f t="shared" si="1"/>
        <v>8.6209621072314757</v>
      </c>
      <c r="M21" s="31">
        <v>2E-3</v>
      </c>
      <c r="N21" s="30">
        <v>5</v>
      </c>
      <c r="O21" s="32" t="str">
        <f t="shared" si="2"/>
        <v>*</v>
      </c>
    </row>
    <row r="22" spans="1:15" x14ac:dyDescent="0.3">
      <c r="A22" s="17" t="s">
        <v>89</v>
      </c>
      <c r="B22" s="23">
        <f>11-5</f>
        <v>6</v>
      </c>
      <c r="C22" s="18">
        <v>11</v>
      </c>
      <c r="D22" s="18">
        <v>14</v>
      </c>
      <c r="E22" s="18">
        <v>20</v>
      </c>
      <c r="F22" s="18">
        <v>-4</v>
      </c>
      <c r="G22" s="18">
        <v>5</v>
      </c>
      <c r="H22" s="18">
        <v>8</v>
      </c>
      <c r="I22" s="18">
        <v>16</v>
      </c>
      <c r="J22" s="18">
        <v>3</v>
      </c>
      <c r="K22" s="30">
        <f t="shared" si="0"/>
        <v>8.7777777777777786</v>
      </c>
      <c r="L22" s="30">
        <f t="shared" si="1"/>
        <v>6.9085740252043637</v>
      </c>
      <c r="M22" s="31">
        <v>9.3200000000000002E-3</v>
      </c>
      <c r="N22" s="30">
        <v>10.5</v>
      </c>
      <c r="O22" s="32" t="str">
        <f t="shared" si="2"/>
        <v>*</v>
      </c>
    </row>
    <row r="23" spans="1:15" x14ac:dyDescent="0.3">
      <c r="A23" s="10" t="s">
        <v>43</v>
      </c>
      <c r="B23" s="23">
        <f>4-7</f>
        <v>-3</v>
      </c>
      <c r="C23" s="18">
        <v>-1</v>
      </c>
      <c r="D23" s="18">
        <v>2</v>
      </c>
      <c r="E23" s="18">
        <v>34</v>
      </c>
      <c r="F23" s="18">
        <v>-2</v>
      </c>
      <c r="G23" s="18">
        <v>-2</v>
      </c>
      <c r="H23" s="18">
        <v>25</v>
      </c>
      <c r="I23" s="18">
        <v>13</v>
      </c>
      <c r="J23" s="18">
        <v>5</v>
      </c>
      <c r="K23" s="30">
        <f t="shared" si="0"/>
        <v>7.8888888888888893</v>
      </c>
      <c r="L23" s="30">
        <f t="shared" si="1"/>
        <v>12.635439089626223</v>
      </c>
      <c r="M23" s="31">
        <v>4.6600000000000003E-2</v>
      </c>
      <c r="N23" s="30">
        <v>17.5</v>
      </c>
      <c r="O23" s="32" t="str">
        <f t="shared" si="2"/>
        <v xml:space="preserve"> </v>
      </c>
    </row>
    <row r="24" spans="1:15" x14ac:dyDescent="0.3">
      <c r="A24" s="10" t="s">
        <v>44</v>
      </c>
      <c r="B24" s="23">
        <f>6-6</f>
        <v>0</v>
      </c>
      <c r="C24" s="18">
        <v>2</v>
      </c>
      <c r="D24" s="18">
        <v>5</v>
      </c>
      <c r="E24" s="18">
        <v>23</v>
      </c>
      <c r="F24" s="18">
        <v>5</v>
      </c>
      <c r="G24" s="18">
        <v>3</v>
      </c>
      <c r="H24" s="18">
        <v>17</v>
      </c>
      <c r="I24" s="18">
        <v>5</v>
      </c>
      <c r="J24" s="18">
        <v>13</v>
      </c>
      <c r="K24" s="30">
        <f t="shared" si="0"/>
        <v>8.1111111111111107</v>
      </c>
      <c r="L24" s="30">
        <f t="shared" si="1"/>
        <v>7.3249109883775594</v>
      </c>
      <c r="M24" s="31">
        <v>5.4400000000000004E-3</v>
      </c>
      <c r="N24" s="30">
        <v>8.5</v>
      </c>
      <c r="O24" s="32" t="str">
        <f t="shared" si="2"/>
        <v>*</v>
      </c>
    </row>
    <row r="25" spans="1:15" x14ac:dyDescent="0.3">
      <c r="A25" s="10" t="s">
        <v>78</v>
      </c>
      <c r="B25" s="23">
        <f>4-5</f>
        <v>-1</v>
      </c>
      <c r="C25" s="18">
        <v>-1</v>
      </c>
      <c r="D25" s="18">
        <v>-4</v>
      </c>
      <c r="E25" s="18">
        <v>22</v>
      </c>
      <c r="F25" s="18">
        <v>0</v>
      </c>
      <c r="G25" s="18">
        <v>1</v>
      </c>
      <c r="H25" s="18">
        <v>2</v>
      </c>
      <c r="I25" s="18">
        <v>2</v>
      </c>
      <c r="J25" s="18">
        <v>1</v>
      </c>
      <c r="K25" s="30">
        <f t="shared" si="0"/>
        <v>2.4444444444444446</v>
      </c>
      <c r="L25" s="30">
        <f t="shared" si="1"/>
        <v>7.1353752702232542</v>
      </c>
      <c r="M25" s="31">
        <v>0.13361999999999999</v>
      </c>
      <c r="N25" s="30">
        <v>23</v>
      </c>
      <c r="O25" s="32" t="str">
        <f t="shared" si="2"/>
        <v xml:space="preserve"> </v>
      </c>
    </row>
    <row r="26" spans="1:15" x14ac:dyDescent="0.3">
      <c r="A26" s="10" t="s">
        <v>45</v>
      </c>
      <c r="B26" s="23">
        <f>13-6</f>
        <v>7</v>
      </c>
      <c r="C26" s="18">
        <v>13</v>
      </c>
      <c r="D26" s="18">
        <v>18</v>
      </c>
      <c r="E26" s="18">
        <v>24</v>
      </c>
      <c r="F26" s="18">
        <v>21</v>
      </c>
      <c r="G26" s="18">
        <v>18</v>
      </c>
      <c r="H26" s="18">
        <v>20</v>
      </c>
      <c r="I26" s="18">
        <v>20</v>
      </c>
      <c r="J26" s="18">
        <v>21</v>
      </c>
      <c r="K26" s="30">
        <f t="shared" si="0"/>
        <v>18</v>
      </c>
      <c r="L26" s="30">
        <f t="shared" si="1"/>
        <v>4.8074017006186525</v>
      </c>
      <c r="M26" s="31">
        <v>5.8E-4</v>
      </c>
      <c r="N26" s="30">
        <v>1</v>
      </c>
      <c r="O26" s="32" t="str">
        <f t="shared" si="2"/>
        <v>*</v>
      </c>
    </row>
    <row r="27" spans="1:15" x14ac:dyDescent="0.3">
      <c r="A27" s="10" t="s">
        <v>46</v>
      </c>
      <c r="B27" s="23">
        <f>7-7</f>
        <v>0</v>
      </c>
      <c r="C27" s="18">
        <v>0</v>
      </c>
      <c r="D27" s="18">
        <v>2</v>
      </c>
      <c r="E27" s="18">
        <v>4</v>
      </c>
      <c r="F27" s="18">
        <v>0</v>
      </c>
      <c r="G27" s="18">
        <v>2</v>
      </c>
      <c r="H27" s="18">
        <v>0</v>
      </c>
      <c r="I27" s="18">
        <v>11</v>
      </c>
      <c r="J27" s="18">
        <v>0</v>
      </c>
      <c r="K27" s="30">
        <f t="shared" si="0"/>
        <v>2.1111111111111112</v>
      </c>
      <c r="L27" s="30">
        <f t="shared" si="1"/>
        <v>3.4138425546082702</v>
      </c>
      <c r="M27" s="31">
        <v>7.0300000000000001E-2</v>
      </c>
      <c r="N27" s="30">
        <v>19.5</v>
      </c>
      <c r="O27" s="32" t="str">
        <f t="shared" si="2"/>
        <v xml:space="preserve"> </v>
      </c>
    </row>
    <row r="28" spans="1:15" x14ac:dyDescent="0.3">
      <c r="A28" s="10" t="s">
        <v>47</v>
      </c>
      <c r="B28" s="23">
        <f>7-3</f>
        <v>4</v>
      </c>
      <c r="C28" s="18">
        <v>-4</v>
      </c>
      <c r="D28" s="18">
        <v>-2</v>
      </c>
      <c r="E28" s="18">
        <v>0</v>
      </c>
      <c r="F28" s="18">
        <v>-5</v>
      </c>
      <c r="G28" s="18">
        <v>3</v>
      </c>
      <c r="H28" s="18">
        <v>-1</v>
      </c>
      <c r="I28" s="18">
        <v>2</v>
      </c>
      <c r="J28" s="18">
        <v>-3</v>
      </c>
      <c r="K28" s="30">
        <f t="shared" si="0"/>
        <v>-0.66666666666666663</v>
      </c>
      <c r="L28" s="30">
        <f t="shared" si="1"/>
        <v>2.9814239699997196</v>
      </c>
      <c r="M28" s="31">
        <v>0.42952000000000001</v>
      </c>
      <c r="N28" s="30">
        <v>31</v>
      </c>
      <c r="O28" s="32" t="str">
        <f t="shared" si="2"/>
        <v xml:space="preserve"> </v>
      </c>
    </row>
    <row r="29" spans="1:15" x14ac:dyDescent="0.3">
      <c r="A29" s="10" t="s">
        <v>48</v>
      </c>
      <c r="B29" s="23">
        <f>15-8</f>
        <v>7</v>
      </c>
      <c r="C29" s="18">
        <v>19</v>
      </c>
      <c r="D29" s="18">
        <v>26</v>
      </c>
      <c r="E29" s="18">
        <v>27</v>
      </c>
      <c r="F29" s="18">
        <v>21</v>
      </c>
      <c r="G29" s="18">
        <v>22</v>
      </c>
      <c r="H29" s="18">
        <v>26</v>
      </c>
      <c r="I29" s="18">
        <v>33</v>
      </c>
      <c r="J29" s="18">
        <v>30</v>
      </c>
      <c r="K29" s="30">
        <f t="shared" si="0"/>
        <v>23.444444444444443</v>
      </c>
      <c r="L29" s="30">
        <f t="shared" si="1"/>
        <v>7.1353752702232507</v>
      </c>
      <c r="M29" s="31">
        <v>5.8E-4</v>
      </c>
      <c r="N29" s="30">
        <v>1</v>
      </c>
      <c r="O29" s="32" t="str">
        <f t="shared" si="2"/>
        <v>*</v>
      </c>
    </row>
    <row r="30" spans="1:15" x14ac:dyDescent="0.3">
      <c r="A30" s="10" t="s">
        <v>82</v>
      </c>
      <c r="B30" s="23">
        <f>7-8</f>
        <v>-1</v>
      </c>
      <c r="C30" s="18">
        <v>-5</v>
      </c>
      <c r="D30" s="18">
        <v>4</v>
      </c>
      <c r="E30" s="18">
        <v>18</v>
      </c>
      <c r="F30" s="18">
        <v>-1</v>
      </c>
      <c r="G30" s="18">
        <v>-1</v>
      </c>
      <c r="H30" s="19">
        <v>5</v>
      </c>
      <c r="I30" s="18">
        <v>-5</v>
      </c>
      <c r="J30" s="18">
        <v>-5</v>
      </c>
      <c r="K30" s="30">
        <f t="shared" si="0"/>
        <v>1</v>
      </c>
      <c r="L30" s="30">
        <f t="shared" si="1"/>
        <v>6.9442222186665532</v>
      </c>
      <c r="M30" s="31">
        <v>0.47770000000000001</v>
      </c>
      <c r="N30" s="30">
        <v>32</v>
      </c>
      <c r="O30" s="32" t="str">
        <f t="shared" si="2"/>
        <v xml:space="preserve"> </v>
      </c>
    </row>
    <row r="31" spans="1:15" x14ac:dyDescent="0.3">
      <c r="A31" s="10" t="s">
        <v>50</v>
      </c>
      <c r="B31" s="23">
        <f>5-5</f>
        <v>0</v>
      </c>
      <c r="C31" s="18">
        <v>2</v>
      </c>
      <c r="D31" s="18">
        <v>3</v>
      </c>
      <c r="E31" s="18">
        <v>18</v>
      </c>
      <c r="F31" s="18">
        <v>4</v>
      </c>
      <c r="G31" s="18">
        <v>7</v>
      </c>
      <c r="H31" s="19">
        <v>0</v>
      </c>
      <c r="I31" s="18">
        <v>11</v>
      </c>
      <c r="J31" s="18">
        <v>-1</v>
      </c>
      <c r="K31" s="30">
        <f t="shared" si="0"/>
        <v>4.8888888888888893</v>
      </c>
      <c r="L31" s="30">
        <f t="shared" si="1"/>
        <v>5.8584117006506968</v>
      </c>
      <c r="M31" s="31">
        <v>0.21440000000000001</v>
      </c>
      <c r="N31" s="30">
        <v>14</v>
      </c>
      <c r="O31" s="32" t="str">
        <f t="shared" si="2"/>
        <v xml:space="preserve"> </v>
      </c>
    </row>
    <row r="32" spans="1:15" x14ac:dyDescent="0.3">
      <c r="A32" s="10" t="s">
        <v>51</v>
      </c>
      <c r="B32" s="23">
        <f>7-8</f>
        <v>-1</v>
      </c>
      <c r="C32" s="18">
        <v>1</v>
      </c>
      <c r="D32" s="18">
        <v>7</v>
      </c>
      <c r="E32" s="18">
        <v>24</v>
      </c>
      <c r="F32" s="18">
        <v>-3</v>
      </c>
      <c r="G32" s="18">
        <v>-1</v>
      </c>
      <c r="H32" s="19">
        <v>-2</v>
      </c>
      <c r="I32" s="18">
        <v>-5</v>
      </c>
      <c r="J32" s="18">
        <v>0</v>
      </c>
      <c r="K32" s="30">
        <f t="shared" si="0"/>
        <v>2.2222222222222223</v>
      </c>
      <c r="L32" s="30">
        <f t="shared" si="1"/>
        <v>8.3103386450289563</v>
      </c>
      <c r="M32" s="31">
        <v>0.28914000000000001</v>
      </c>
      <c r="N32" s="30">
        <v>28</v>
      </c>
      <c r="O32" s="32" t="str">
        <f t="shared" si="2"/>
        <v xml:space="preserve"> </v>
      </c>
    </row>
    <row r="33" spans="1:15" x14ac:dyDescent="0.3">
      <c r="A33" s="10" t="s">
        <v>52</v>
      </c>
      <c r="B33" s="23">
        <f>20-6</f>
        <v>14</v>
      </c>
      <c r="C33" s="18">
        <v>15</v>
      </c>
      <c r="D33" s="18">
        <v>20</v>
      </c>
      <c r="E33" s="18">
        <v>14</v>
      </c>
      <c r="F33" s="18">
        <v>23</v>
      </c>
      <c r="G33" s="18">
        <v>22</v>
      </c>
      <c r="H33" s="19">
        <v>8</v>
      </c>
      <c r="I33" s="18">
        <v>19</v>
      </c>
      <c r="J33" s="18">
        <v>23</v>
      </c>
      <c r="K33" s="30">
        <f t="shared" si="0"/>
        <v>17.555555555555557</v>
      </c>
      <c r="L33" s="30">
        <f t="shared" si="1"/>
        <v>4.8330140379847979</v>
      </c>
      <c r="M33" s="31">
        <v>5.8E-4</v>
      </c>
      <c r="N33" s="30">
        <v>1</v>
      </c>
      <c r="O33" s="32" t="str">
        <f t="shared" si="2"/>
        <v>*</v>
      </c>
    </row>
    <row r="34" spans="1:15" x14ac:dyDescent="0.3">
      <c r="A34" s="10" t="s">
        <v>53</v>
      </c>
      <c r="B34" s="23">
        <f>9-6</f>
        <v>3</v>
      </c>
      <c r="C34" s="18">
        <v>10</v>
      </c>
      <c r="D34" s="18">
        <v>14</v>
      </c>
      <c r="E34" s="18">
        <v>14</v>
      </c>
      <c r="F34" s="18">
        <v>7</v>
      </c>
      <c r="G34" s="18">
        <v>14</v>
      </c>
      <c r="H34" s="19">
        <v>0</v>
      </c>
      <c r="I34" s="18">
        <v>-1</v>
      </c>
      <c r="J34" s="18">
        <v>13</v>
      </c>
      <c r="K34" s="30">
        <f t="shared" si="0"/>
        <v>8.2222222222222214</v>
      </c>
      <c r="L34" s="30">
        <f t="shared" si="1"/>
        <v>5.8457539724292902</v>
      </c>
      <c r="M34" s="31">
        <v>6.1399999999999996E-3</v>
      </c>
      <c r="N34" s="30">
        <v>9</v>
      </c>
      <c r="O34" s="32" t="str">
        <f t="shared" si="2"/>
        <v>*</v>
      </c>
    </row>
    <row r="35" spans="1:15" x14ac:dyDescent="0.3">
      <c r="A35" s="10" t="s">
        <v>54</v>
      </c>
      <c r="B35" s="23">
        <f>3-3</f>
        <v>0</v>
      </c>
      <c r="C35" s="18">
        <v>-4</v>
      </c>
      <c r="D35" s="18">
        <v>-1</v>
      </c>
      <c r="E35" s="18">
        <v>18</v>
      </c>
      <c r="F35" s="18">
        <v>0</v>
      </c>
      <c r="G35" s="18">
        <v>2</v>
      </c>
      <c r="H35" s="19">
        <v>0</v>
      </c>
      <c r="I35" s="18">
        <v>-1</v>
      </c>
      <c r="J35" s="18">
        <v>-9</v>
      </c>
      <c r="K35" s="30">
        <f t="shared" si="0"/>
        <v>0.55555555555555558</v>
      </c>
      <c r="L35" s="30">
        <f t="shared" si="1"/>
        <v>6.8655518692335145</v>
      </c>
      <c r="M35" s="31">
        <v>0.45326</v>
      </c>
      <c r="N35" s="30">
        <v>31.5</v>
      </c>
      <c r="O35" s="32" t="str">
        <f t="shared" si="2"/>
        <v xml:space="preserve"> </v>
      </c>
    </row>
    <row r="36" spans="1:15" x14ac:dyDescent="0.3">
      <c r="A36" s="10" t="s">
        <v>86</v>
      </c>
      <c r="B36" s="23">
        <f>6-5</f>
        <v>1</v>
      </c>
      <c r="C36" s="18">
        <v>-5</v>
      </c>
      <c r="D36" s="18">
        <v>-6</v>
      </c>
      <c r="E36" s="18">
        <v>16</v>
      </c>
      <c r="F36" s="18">
        <v>-2</v>
      </c>
      <c r="G36" s="18">
        <v>1</v>
      </c>
      <c r="H36" s="19">
        <v>-1</v>
      </c>
      <c r="I36" s="18">
        <v>-1</v>
      </c>
      <c r="J36" s="18">
        <v>30</v>
      </c>
      <c r="K36" s="30">
        <f t="shared" si="0"/>
        <v>3.6666666666666665</v>
      </c>
      <c r="L36" s="30">
        <f t="shared" si="1"/>
        <v>11.075498483890767</v>
      </c>
      <c r="M36" s="31">
        <v>0.35238000000000003</v>
      </c>
      <c r="N36" s="30">
        <v>29.5</v>
      </c>
      <c r="O36" s="32" t="str">
        <f t="shared" si="2"/>
        <v xml:space="preserve"> </v>
      </c>
    </row>
    <row r="37" spans="1:15" x14ac:dyDescent="0.3">
      <c r="A37" s="10" t="s">
        <v>87</v>
      </c>
      <c r="B37" s="23">
        <f>3-4</f>
        <v>-1</v>
      </c>
      <c r="C37" s="18">
        <v>-1</v>
      </c>
      <c r="D37" s="18">
        <v>6</v>
      </c>
      <c r="E37" s="18">
        <v>17</v>
      </c>
      <c r="F37" s="18">
        <v>-1</v>
      </c>
      <c r="G37" s="18">
        <v>8</v>
      </c>
      <c r="H37" s="19">
        <v>2</v>
      </c>
      <c r="I37" s="18">
        <v>-1</v>
      </c>
      <c r="J37" s="18">
        <v>36</v>
      </c>
      <c r="K37" s="30">
        <f t="shared" si="0"/>
        <v>7.2222222222222223</v>
      </c>
      <c r="L37" s="30">
        <f t="shared" si="1"/>
        <v>11.659786330973249</v>
      </c>
      <c r="M37" s="31">
        <v>3.0779999999999998E-2</v>
      </c>
      <c r="N37" s="30">
        <v>15.5</v>
      </c>
      <c r="O37" s="32" t="str">
        <f t="shared" si="2"/>
        <v xml:space="preserve"> </v>
      </c>
    </row>
    <row r="38" spans="1:15" x14ac:dyDescent="0.3">
      <c r="A38" s="10" t="s">
        <v>57</v>
      </c>
      <c r="B38" s="23">
        <f>7-3</f>
        <v>4</v>
      </c>
      <c r="C38" s="18">
        <v>-3</v>
      </c>
      <c r="D38" s="18">
        <v>6</v>
      </c>
      <c r="E38" s="18">
        <v>10</v>
      </c>
      <c r="F38" s="18">
        <v>-1</v>
      </c>
      <c r="G38" s="18">
        <v>-1</v>
      </c>
      <c r="H38" s="19">
        <v>-1</v>
      </c>
      <c r="I38" s="18">
        <v>-3</v>
      </c>
      <c r="J38" s="18">
        <v>-3</v>
      </c>
      <c r="K38" s="30">
        <f t="shared" si="0"/>
        <v>0.88888888888888884</v>
      </c>
      <c r="L38" s="30">
        <f t="shared" si="1"/>
        <v>4.408185427750527</v>
      </c>
      <c r="M38" s="31">
        <v>0.25013999999999997</v>
      </c>
      <c r="N38" s="30">
        <v>27</v>
      </c>
      <c r="O38" s="32" t="str">
        <f t="shared" si="2"/>
        <v xml:space="preserve"> </v>
      </c>
    </row>
    <row r="39" spans="1:15" x14ac:dyDescent="0.3">
      <c r="A39" s="10" t="s">
        <v>58</v>
      </c>
      <c r="B39" s="23">
        <f>10-6</f>
        <v>4</v>
      </c>
      <c r="C39" s="18">
        <v>4</v>
      </c>
      <c r="D39" s="18">
        <v>11</v>
      </c>
      <c r="E39" s="18">
        <v>24</v>
      </c>
      <c r="F39" s="18">
        <v>6</v>
      </c>
      <c r="G39" s="18">
        <v>9</v>
      </c>
      <c r="H39" s="19">
        <v>0</v>
      </c>
      <c r="I39" s="18">
        <v>1</v>
      </c>
      <c r="J39" s="18">
        <v>4</v>
      </c>
      <c r="K39" s="30">
        <f t="shared" si="0"/>
        <v>7</v>
      </c>
      <c r="L39" s="30">
        <f t="shared" si="1"/>
        <v>6.8475461947247123</v>
      </c>
      <c r="M39" s="31">
        <v>1.0460000000000001E-2</v>
      </c>
      <c r="N39" s="30">
        <v>11</v>
      </c>
      <c r="O39" s="32" t="str">
        <f t="shared" si="2"/>
        <v xml:space="preserve"> </v>
      </c>
    </row>
    <row r="40" spans="1:15" x14ac:dyDescent="0.3">
      <c r="A40" s="10" t="s">
        <v>59</v>
      </c>
      <c r="B40" s="23">
        <f>26-6</f>
        <v>20</v>
      </c>
      <c r="C40" s="18">
        <v>32</v>
      </c>
      <c r="D40" s="18">
        <v>66</v>
      </c>
      <c r="E40" s="18">
        <v>3</v>
      </c>
      <c r="F40" s="18">
        <v>28</v>
      </c>
      <c r="G40" s="18">
        <v>54</v>
      </c>
      <c r="H40" s="19">
        <v>26</v>
      </c>
      <c r="I40" s="18">
        <v>57</v>
      </c>
      <c r="J40" s="18">
        <v>38</v>
      </c>
      <c r="K40" s="30">
        <f t="shared" si="0"/>
        <v>36</v>
      </c>
      <c r="L40" s="30">
        <f t="shared" si="1"/>
        <v>18.838494867926389</v>
      </c>
      <c r="M40" s="31">
        <v>5.8E-4</v>
      </c>
      <c r="N40" s="30">
        <v>1</v>
      </c>
      <c r="O40" s="32" t="str">
        <f t="shared" si="2"/>
        <v>*</v>
      </c>
    </row>
    <row r="41" spans="1:15" x14ac:dyDescent="0.3">
      <c r="A41" s="10" t="s">
        <v>88</v>
      </c>
      <c r="B41" s="23">
        <f>65-4</f>
        <v>61</v>
      </c>
      <c r="C41" s="18">
        <v>98</v>
      </c>
      <c r="D41" s="18">
        <v>91</v>
      </c>
      <c r="E41" s="18">
        <v>27</v>
      </c>
      <c r="F41" s="18">
        <v>129</v>
      </c>
      <c r="G41" s="18">
        <v>130</v>
      </c>
      <c r="H41" s="19">
        <v>92</v>
      </c>
      <c r="I41" s="18">
        <v>108</v>
      </c>
      <c r="J41" s="18">
        <v>161</v>
      </c>
      <c r="K41" s="30">
        <f t="shared" si="0"/>
        <v>99.666666666666671</v>
      </c>
      <c r="L41" s="30">
        <f t="shared" si="1"/>
        <v>37.303559556100751</v>
      </c>
      <c r="M41" s="31">
        <v>4.2000000000000002E-4</v>
      </c>
      <c r="N41" s="30">
        <v>0</v>
      </c>
      <c r="O41" s="32" t="str">
        <f t="shared" si="2"/>
        <v>*</v>
      </c>
    </row>
    <row r="42" spans="1:15" x14ac:dyDescent="0.3">
      <c r="A42" s="10" t="s">
        <v>61</v>
      </c>
      <c r="B42" s="23">
        <f>49-3</f>
        <v>46</v>
      </c>
      <c r="C42" s="18">
        <v>93</v>
      </c>
      <c r="D42" s="18">
        <v>70</v>
      </c>
      <c r="E42" s="18">
        <v>16</v>
      </c>
      <c r="F42" s="18">
        <v>84</v>
      </c>
      <c r="G42" s="18">
        <v>101</v>
      </c>
      <c r="H42" s="19">
        <v>26</v>
      </c>
      <c r="I42" s="18">
        <v>95</v>
      </c>
      <c r="J42" s="18">
        <v>132</v>
      </c>
      <c r="K42" s="30">
        <f t="shared" si="0"/>
        <v>73.666666666666671</v>
      </c>
      <c r="L42" s="30">
        <f t="shared" si="1"/>
        <v>35.686910143014011</v>
      </c>
      <c r="M42" s="31">
        <v>4.2000000000000002E-4</v>
      </c>
      <c r="N42" s="30">
        <v>0</v>
      </c>
      <c r="O42" s="32" t="str">
        <f t="shared" si="2"/>
        <v>*</v>
      </c>
    </row>
    <row r="43" spans="1:15" x14ac:dyDescent="0.3">
      <c r="A43" s="10" t="s">
        <v>12</v>
      </c>
      <c r="B43" s="23">
        <f>42-4</f>
        <v>38</v>
      </c>
      <c r="C43" s="18">
        <v>54</v>
      </c>
      <c r="D43" s="18">
        <v>69</v>
      </c>
      <c r="E43" s="18">
        <v>134</v>
      </c>
      <c r="F43" s="21">
        <v>127</v>
      </c>
      <c r="G43" s="18">
        <v>31</v>
      </c>
      <c r="H43" s="19">
        <v>27</v>
      </c>
      <c r="I43" s="18">
        <v>38</v>
      </c>
      <c r="J43" s="18">
        <v>43</v>
      </c>
      <c r="K43" s="30">
        <f t="shared" si="0"/>
        <v>62.333333333333336</v>
      </c>
      <c r="L43" s="30">
        <f t="shared" si="1"/>
        <v>38.326086271479483</v>
      </c>
      <c r="M43" s="31">
        <v>4.2000000000000002E-4</v>
      </c>
      <c r="N43" s="30">
        <v>0</v>
      </c>
      <c r="O43" s="32" t="str">
        <f t="shared" si="2"/>
        <v>*</v>
      </c>
    </row>
    <row r="44" spans="1:15" x14ac:dyDescent="0.3">
      <c r="A44" s="10" t="s">
        <v>62</v>
      </c>
      <c r="B44" s="23">
        <f>2-2</f>
        <v>0</v>
      </c>
      <c r="C44" s="18">
        <v>-2</v>
      </c>
      <c r="D44" s="18">
        <v>2</v>
      </c>
      <c r="E44" s="18">
        <v>24</v>
      </c>
      <c r="F44" s="18">
        <v>-3</v>
      </c>
      <c r="G44" s="18">
        <v>0</v>
      </c>
      <c r="H44" s="19">
        <v>-2</v>
      </c>
      <c r="I44" s="18">
        <v>-4</v>
      </c>
      <c r="J44" s="18">
        <v>32</v>
      </c>
      <c r="K44" s="30">
        <f t="shared" si="0"/>
        <v>5.2222222222222223</v>
      </c>
      <c r="L44" s="30">
        <f t="shared" si="1"/>
        <v>12.434519852033583</v>
      </c>
      <c r="M44" s="31">
        <v>0.20054</v>
      </c>
      <c r="N44" s="30">
        <v>25.5</v>
      </c>
      <c r="O44" s="32" t="str">
        <f t="shared" si="2"/>
        <v xml:space="preserve"> </v>
      </c>
    </row>
    <row r="45" spans="1:15" x14ac:dyDescent="0.3">
      <c r="A45" s="10" t="s">
        <v>63</v>
      </c>
      <c r="B45" s="23">
        <f>41-2</f>
        <v>39</v>
      </c>
      <c r="C45" s="18">
        <v>81</v>
      </c>
      <c r="D45" s="18">
        <v>77</v>
      </c>
      <c r="E45" s="18">
        <v>18</v>
      </c>
      <c r="F45" s="18">
        <v>47</v>
      </c>
      <c r="G45" s="18">
        <v>58</v>
      </c>
      <c r="H45" s="19">
        <v>37</v>
      </c>
      <c r="I45" s="18">
        <v>61</v>
      </c>
      <c r="J45" s="18">
        <v>44</v>
      </c>
      <c r="K45" s="30">
        <f t="shared" si="0"/>
        <v>51.333333333333336</v>
      </c>
      <c r="L45" s="30">
        <f t="shared" si="1"/>
        <v>18.909139471577102</v>
      </c>
      <c r="M45" s="31">
        <v>4.2000000000000002E-4</v>
      </c>
      <c r="N45" s="30">
        <v>0</v>
      </c>
      <c r="O45" s="32" t="str">
        <f t="shared" si="2"/>
        <v>*</v>
      </c>
    </row>
    <row r="46" spans="1:15" x14ac:dyDescent="0.3">
      <c r="A46" s="10" t="s">
        <v>64</v>
      </c>
      <c r="B46" s="23">
        <f>4-4</f>
        <v>0</v>
      </c>
      <c r="C46" s="18">
        <v>-4</v>
      </c>
      <c r="D46" s="18">
        <v>-2</v>
      </c>
      <c r="E46" s="18">
        <v>27</v>
      </c>
      <c r="F46" s="18">
        <v>-1</v>
      </c>
      <c r="G46" s="18">
        <v>-1</v>
      </c>
      <c r="H46" s="19">
        <v>0</v>
      </c>
      <c r="I46" s="18">
        <v>-1</v>
      </c>
      <c r="J46" s="18">
        <v>-4</v>
      </c>
      <c r="K46" s="30">
        <f t="shared" si="0"/>
        <v>1.5555555555555556</v>
      </c>
      <c r="L46" s="30">
        <f t="shared" si="1"/>
        <v>9.1056894437990561</v>
      </c>
      <c r="M46" s="31">
        <v>0.40089999999999998</v>
      </c>
      <c r="N46" s="30">
        <v>30.5</v>
      </c>
      <c r="O46" s="32" t="str">
        <f t="shared" si="2"/>
        <v xml:space="preserve"> </v>
      </c>
    </row>
    <row r="47" spans="1:15" x14ac:dyDescent="0.3">
      <c r="A47" s="10" t="s">
        <v>17</v>
      </c>
      <c r="B47" s="23">
        <f>128-22</f>
        <v>106</v>
      </c>
      <c r="C47" s="18">
        <v>109</v>
      </c>
      <c r="D47" s="18">
        <v>86</v>
      </c>
      <c r="E47" s="18">
        <v>21</v>
      </c>
      <c r="F47" s="18">
        <v>50</v>
      </c>
      <c r="G47" s="18">
        <v>126</v>
      </c>
      <c r="H47" s="19">
        <v>110</v>
      </c>
      <c r="I47" s="18">
        <v>128</v>
      </c>
      <c r="J47" s="18">
        <v>176</v>
      </c>
      <c r="K47" s="30">
        <f>AVERAGE(B47:J47)</f>
        <v>101.33333333333333</v>
      </c>
      <c r="L47" s="30">
        <f>STDEV(B47:K47)</f>
        <v>42.653643845905258</v>
      </c>
      <c r="M47" s="31">
        <v>4.2000000000000002E-4</v>
      </c>
      <c r="N47" s="30">
        <v>0</v>
      </c>
      <c r="O47" s="32" t="str">
        <f t="shared" si="2"/>
        <v>*</v>
      </c>
    </row>
    <row r="48" spans="1:15" x14ac:dyDescent="0.3">
      <c r="A48" s="10" t="s">
        <v>65</v>
      </c>
      <c r="B48" s="23">
        <f>4-2</f>
        <v>2</v>
      </c>
      <c r="C48" s="18">
        <v>-2</v>
      </c>
      <c r="D48" s="18">
        <v>4</v>
      </c>
      <c r="E48" s="18">
        <v>21</v>
      </c>
      <c r="F48" s="18">
        <v>-3</v>
      </c>
      <c r="G48" s="18">
        <v>3</v>
      </c>
      <c r="H48" s="19">
        <v>-2</v>
      </c>
      <c r="I48" s="18">
        <v>-1</v>
      </c>
      <c r="J48" s="18">
        <v>-1</v>
      </c>
      <c r="K48" s="30">
        <f t="shared" si="0"/>
        <v>2.3333333333333335</v>
      </c>
      <c r="L48" s="30">
        <f t="shared" si="1"/>
        <v>6.99205898780101</v>
      </c>
      <c r="M48" s="31">
        <v>0.14430000000000001</v>
      </c>
      <c r="N48" s="30">
        <v>23.5</v>
      </c>
      <c r="O48" s="32" t="str">
        <f t="shared" si="2"/>
        <v xml:space="preserve"> </v>
      </c>
    </row>
    <row r="49" spans="1:44" x14ac:dyDescent="0.3">
      <c r="A49" s="10" t="s">
        <v>66</v>
      </c>
      <c r="B49" s="23">
        <f>1-3</f>
        <v>-2</v>
      </c>
      <c r="C49" s="18">
        <v>3</v>
      </c>
      <c r="D49" s="18">
        <v>8</v>
      </c>
      <c r="E49" s="18">
        <v>20</v>
      </c>
      <c r="F49" s="18">
        <v>2</v>
      </c>
      <c r="G49" s="18">
        <v>-1</v>
      </c>
      <c r="H49" s="19">
        <v>-1</v>
      </c>
      <c r="I49" s="18">
        <v>2</v>
      </c>
      <c r="J49" s="18">
        <v>11</v>
      </c>
      <c r="K49" s="30">
        <f t="shared" si="0"/>
        <v>4.666666666666667</v>
      </c>
      <c r="L49" s="30">
        <f t="shared" si="1"/>
        <v>6.7659277100614812</v>
      </c>
      <c r="M49" s="31">
        <v>2.7099999999999999E-2</v>
      </c>
      <c r="N49" s="30">
        <v>15</v>
      </c>
      <c r="O49" s="32" t="str">
        <f t="shared" si="2"/>
        <v xml:space="preserve"> </v>
      </c>
    </row>
    <row r="50" spans="1:44" x14ac:dyDescent="0.3">
      <c r="A50" s="10" t="s">
        <v>67</v>
      </c>
      <c r="B50" s="23">
        <f>6-2</f>
        <v>4</v>
      </c>
      <c r="C50" s="18">
        <v>-2</v>
      </c>
      <c r="D50" s="18">
        <v>1</v>
      </c>
      <c r="E50" s="18">
        <v>19</v>
      </c>
      <c r="F50" s="18">
        <v>3</v>
      </c>
      <c r="G50" s="18">
        <v>4</v>
      </c>
      <c r="H50" s="19">
        <v>-1</v>
      </c>
      <c r="I50" s="18">
        <v>-1</v>
      </c>
      <c r="J50" s="18">
        <v>7</v>
      </c>
      <c r="K50" s="30">
        <f t="shared" si="0"/>
        <v>3.7777777777777777</v>
      </c>
      <c r="L50" s="30">
        <f t="shared" si="1"/>
        <v>6.0512216907511567</v>
      </c>
      <c r="M50" s="31">
        <v>3.4000000000000002E-2</v>
      </c>
      <c r="N50" s="30">
        <v>16</v>
      </c>
      <c r="O50" s="32" t="str">
        <f t="shared" si="2"/>
        <v xml:space="preserve"> </v>
      </c>
    </row>
    <row r="51" spans="1:44" x14ac:dyDescent="0.3">
      <c r="A51" s="10" t="s">
        <v>68</v>
      </c>
      <c r="B51" s="23">
        <f>8-3</f>
        <v>5</v>
      </c>
      <c r="C51" s="18">
        <v>9</v>
      </c>
      <c r="D51" s="18">
        <v>13</v>
      </c>
      <c r="E51" s="18">
        <v>14</v>
      </c>
      <c r="F51" s="18">
        <v>2</v>
      </c>
      <c r="G51" s="18">
        <v>1</v>
      </c>
      <c r="H51" s="19">
        <v>-1</v>
      </c>
      <c r="I51" s="18">
        <v>-3</v>
      </c>
      <c r="J51" s="18">
        <v>4</v>
      </c>
      <c r="K51" s="30">
        <f t="shared" si="0"/>
        <v>4.8888888888888893</v>
      </c>
      <c r="L51" s="30">
        <f t="shared" si="1"/>
        <v>5.6459315626277782</v>
      </c>
      <c r="M51" s="31">
        <v>2.7099999999999999E-2</v>
      </c>
      <c r="N51" s="30">
        <v>15</v>
      </c>
      <c r="O51" s="32" t="str">
        <f t="shared" si="2"/>
        <v xml:space="preserve"> </v>
      </c>
    </row>
    <row r="52" spans="1:44" x14ac:dyDescent="0.3">
      <c r="A52" s="10" t="s">
        <v>69</v>
      </c>
      <c r="B52" s="23">
        <f>5-6</f>
        <v>-1</v>
      </c>
      <c r="C52" s="18">
        <v>6</v>
      </c>
      <c r="D52" s="18">
        <v>7</v>
      </c>
      <c r="E52" s="18">
        <v>23</v>
      </c>
      <c r="F52" s="18">
        <v>13</v>
      </c>
      <c r="G52" s="18">
        <v>12</v>
      </c>
      <c r="H52" s="19">
        <v>9</v>
      </c>
      <c r="I52" s="18">
        <v>4</v>
      </c>
      <c r="J52" s="18">
        <v>11</v>
      </c>
      <c r="K52" s="30">
        <f t="shared" si="0"/>
        <v>9.3333333333333339</v>
      </c>
      <c r="L52" s="30">
        <f t="shared" si="1"/>
        <v>6.3420991968134839</v>
      </c>
      <c r="M52" s="31">
        <v>4.1000000000000003E-3</v>
      </c>
      <c r="N52" s="30">
        <v>7.5</v>
      </c>
      <c r="O52" s="32" t="str">
        <f t="shared" si="2"/>
        <v>*</v>
      </c>
    </row>
    <row r="53" spans="1:44" x14ac:dyDescent="0.3">
      <c r="A53" s="10" t="s">
        <v>0</v>
      </c>
      <c r="B53" s="23">
        <f>17-6</f>
        <v>11</v>
      </c>
      <c r="C53" s="18">
        <v>19</v>
      </c>
      <c r="D53" s="18">
        <v>22</v>
      </c>
      <c r="E53" s="18">
        <v>41</v>
      </c>
      <c r="F53" s="18">
        <v>25</v>
      </c>
      <c r="G53" s="18">
        <v>18</v>
      </c>
      <c r="H53" s="19">
        <v>10</v>
      </c>
      <c r="I53" s="18">
        <v>28</v>
      </c>
      <c r="J53" s="18">
        <v>21</v>
      </c>
      <c r="K53" s="30">
        <f t="shared" si="0"/>
        <v>21.666666666666668</v>
      </c>
      <c r="L53" s="30">
        <f t="shared" si="1"/>
        <v>8.7939373055152856</v>
      </c>
      <c r="M53" s="31">
        <v>6.8000000000000005E-4</v>
      </c>
      <c r="N53" s="30">
        <v>1.5</v>
      </c>
      <c r="O53" s="32" t="str">
        <f t="shared" si="2"/>
        <v>*</v>
      </c>
    </row>
    <row r="54" spans="1:44" x14ac:dyDescent="0.3">
      <c r="A54" s="10" t="s">
        <v>79</v>
      </c>
      <c r="B54" s="23">
        <f>3-2</f>
        <v>1</v>
      </c>
      <c r="C54" s="18">
        <v>-1</v>
      </c>
      <c r="D54" s="18">
        <v>-3</v>
      </c>
      <c r="E54" s="18">
        <v>12</v>
      </c>
      <c r="F54" s="18">
        <v>-4</v>
      </c>
      <c r="G54" s="18">
        <v>0</v>
      </c>
      <c r="H54" s="19">
        <v>0</v>
      </c>
      <c r="I54" s="18">
        <v>1</v>
      </c>
      <c r="J54" s="18">
        <v>-2</v>
      </c>
      <c r="K54" s="30">
        <f t="shared" si="0"/>
        <v>0.44444444444444442</v>
      </c>
      <c r="L54" s="30">
        <f t="shared" si="1"/>
        <v>4.3997755273829622</v>
      </c>
      <c r="M54" s="31">
        <v>0.30771999999999999</v>
      </c>
      <c r="N54" s="30">
        <v>28.5</v>
      </c>
      <c r="O54" s="32" t="str">
        <f t="shared" si="2"/>
        <v xml:space="preserve"> </v>
      </c>
    </row>
    <row r="55" spans="1:44" x14ac:dyDescent="0.3">
      <c r="A55" s="22"/>
      <c r="B55" s="23"/>
      <c r="K55" s="18"/>
    </row>
    <row r="58" spans="1:44" x14ac:dyDescent="0.3">
      <c r="A58" s="23"/>
      <c r="B58" s="23"/>
      <c r="C58" s="23"/>
      <c r="D58" s="23"/>
      <c r="E58" s="23"/>
      <c r="F58" s="23"/>
      <c r="G58" s="23"/>
      <c r="H58" s="23"/>
    </row>
    <row r="59" spans="1:44" x14ac:dyDescent="0.3">
      <c r="A59" s="18"/>
      <c r="B59" s="18"/>
      <c r="I59" s="23"/>
      <c r="J59" s="23"/>
      <c r="K59" s="23"/>
      <c r="L59" s="23"/>
      <c r="M59" s="23"/>
      <c r="N59" s="23"/>
      <c r="O59" s="3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</row>
    <row r="60" spans="1:44" x14ac:dyDescent="0.3">
      <c r="A60" s="18"/>
      <c r="B60" s="18"/>
      <c r="K60" s="18"/>
      <c r="L60" s="18"/>
      <c r="M60" s="18"/>
      <c r="N60" s="18"/>
      <c r="O60" s="34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</row>
    <row r="61" spans="1:44" x14ac:dyDescent="0.3">
      <c r="A61" s="18"/>
      <c r="B61" s="18"/>
      <c r="K61" s="18"/>
      <c r="L61" s="18"/>
      <c r="M61" s="18"/>
      <c r="N61" s="18"/>
      <c r="O61" s="34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</row>
    <row r="62" spans="1:44" x14ac:dyDescent="0.3">
      <c r="A62" s="18"/>
      <c r="B62" s="18"/>
      <c r="K62" s="18"/>
      <c r="L62" s="18"/>
      <c r="M62" s="18"/>
      <c r="N62" s="18"/>
      <c r="O62" s="34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</row>
    <row r="63" spans="1:44" x14ac:dyDescent="0.3">
      <c r="A63" s="18"/>
      <c r="B63" s="18"/>
      <c r="K63" s="18"/>
      <c r="L63" s="18"/>
      <c r="M63" s="18"/>
      <c r="N63" s="18"/>
      <c r="O63" s="34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21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</row>
    <row r="64" spans="1:44" x14ac:dyDescent="0.3">
      <c r="A64" s="19"/>
      <c r="B64" s="19"/>
      <c r="C64" s="19"/>
      <c r="D64" s="19"/>
      <c r="E64" s="19"/>
      <c r="F64" s="19"/>
      <c r="G64" s="19"/>
      <c r="H64" s="19"/>
      <c r="K64" s="18"/>
      <c r="L64" s="18"/>
      <c r="M64" s="18"/>
      <c r="N64" s="18"/>
      <c r="O64" s="34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</row>
    <row r="65" spans="1:44" x14ac:dyDescent="0.3">
      <c r="A65" s="18"/>
      <c r="B65" s="18"/>
      <c r="I65" s="19"/>
      <c r="J65" s="19"/>
      <c r="K65" s="19"/>
      <c r="L65" s="19"/>
      <c r="M65" s="19"/>
      <c r="N65" s="19"/>
      <c r="O65" s="35"/>
      <c r="P65" s="19"/>
      <c r="Q65" s="18"/>
      <c r="R65" s="18"/>
      <c r="S65" s="18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</row>
    <row r="66" spans="1:44" x14ac:dyDescent="0.3">
      <c r="A66" s="18"/>
      <c r="B66" s="18"/>
      <c r="K66" s="18"/>
      <c r="L66" s="18"/>
      <c r="M66" s="18"/>
      <c r="N66" s="18"/>
      <c r="O66" s="34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</row>
    <row r="67" spans="1:44" x14ac:dyDescent="0.3">
      <c r="A67" s="18"/>
      <c r="B67" s="18"/>
      <c r="K67" s="18"/>
      <c r="L67" s="18"/>
      <c r="M67" s="18"/>
      <c r="N67" s="18"/>
      <c r="O67" s="34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</row>
  </sheetData>
  <mergeCells count="3">
    <mergeCell ref="M5:O5"/>
    <mergeCell ref="A2:O3"/>
    <mergeCell ref="A1:O1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9"/>
  <sheetViews>
    <sheetView zoomScale="70" zoomScaleNormal="70" workbookViewId="0">
      <selection activeCell="R7" sqref="R7"/>
    </sheetView>
  </sheetViews>
  <sheetFormatPr defaultColWidth="9.109375" defaultRowHeight="14.4" x14ac:dyDescent="0.3"/>
  <cols>
    <col min="1" max="1" width="30.6640625" style="13" customWidth="1"/>
    <col min="2" max="12" width="15.6640625" style="15" customWidth="1"/>
    <col min="13" max="14" width="9.109375" style="15"/>
    <col min="15" max="15" width="11.109375" style="15" customWidth="1"/>
    <col min="16" max="16384" width="9.109375" style="15"/>
  </cols>
  <sheetData>
    <row r="1" spans="1:22" x14ac:dyDescent="0.3">
      <c r="A1" s="14" t="s">
        <v>81</v>
      </c>
      <c r="B1" s="16" t="s">
        <v>14</v>
      </c>
      <c r="C1" s="16" t="s">
        <v>15</v>
      </c>
      <c r="D1" s="16" t="s">
        <v>16</v>
      </c>
      <c r="E1" s="16" t="s">
        <v>70</v>
      </c>
      <c r="F1" s="16" t="s">
        <v>71</v>
      </c>
      <c r="G1" s="16" t="s">
        <v>72</v>
      </c>
      <c r="H1" s="16" t="s">
        <v>73</v>
      </c>
      <c r="I1" s="16" t="s">
        <v>74</v>
      </c>
      <c r="J1" s="16" t="s">
        <v>75</v>
      </c>
      <c r="K1" s="16" t="s">
        <v>18</v>
      </c>
      <c r="L1" s="16" t="s">
        <v>19</v>
      </c>
      <c r="M1" s="46" t="s">
        <v>98</v>
      </c>
      <c r="N1" s="46"/>
      <c r="O1" s="46"/>
      <c r="P1" s="16"/>
      <c r="Q1" s="16"/>
      <c r="R1" s="16"/>
      <c r="S1" s="16"/>
      <c r="T1" s="16"/>
      <c r="U1" s="16"/>
      <c r="V1" s="16"/>
    </row>
    <row r="2" spans="1:22" x14ac:dyDescent="0.3">
      <c r="A2" s="14" t="s">
        <v>90</v>
      </c>
      <c r="B2" s="15">
        <v>101</v>
      </c>
      <c r="C2" s="15">
        <v>34</v>
      </c>
      <c r="D2" s="15">
        <v>46</v>
      </c>
      <c r="E2" s="15">
        <v>47</v>
      </c>
      <c r="F2" s="15">
        <v>41</v>
      </c>
      <c r="G2" s="15">
        <v>77</v>
      </c>
      <c r="H2" s="15">
        <v>112</v>
      </c>
      <c r="I2" s="15">
        <v>40</v>
      </c>
      <c r="J2" s="15">
        <v>112</v>
      </c>
      <c r="K2" s="28">
        <f t="shared" ref="K2:K16" si="0">AVERAGE(B2:J2)</f>
        <v>67.777777777777771</v>
      </c>
      <c r="L2" s="28">
        <f t="shared" ref="L2:L16" si="1">STDEV(B2:J2)</f>
        <v>32.854899854427259</v>
      </c>
      <c r="M2" s="38" t="s">
        <v>96</v>
      </c>
      <c r="N2" s="37" t="s">
        <v>97</v>
      </c>
      <c r="O2" s="37" t="s">
        <v>99</v>
      </c>
    </row>
    <row r="3" spans="1:22" x14ac:dyDescent="0.3">
      <c r="A3" s="14" t="s">
        <v>30</v>
      </c>
      <c r="B3" s="15">
        <v>37</v>
      </c>
      <c r="C3" s="15">
        <v>98</v>
      </c>
      <c r="D3" s="15">
        <v>101</v>
      </c>
      <c r="E3" s="15">
        <v>91</v>
      </c>
      <c r="F3" s="15">
        <v>116</v>
      </c>
      <c r="G3" s="15">
        <v>95</v>
      </c>
      <c r="H3" s="15">
        <v>32</v>
      </c>
      <c r="I3" s="15">
        <v>104</v>
      </c>
      <c r="J3" s="15">
        <v>95</v>
      </c>
      <c r="K3" s="28">
        <f t="shared" si="0"/>
        <v>85.444444444444443</v>
      </c>
      <c r="L3" s="28">
        <f t="shared" si="1"/>
        <v>29.778814243985227</v>
      </c>
      <c r="M3" s="39">
        <v>0.56867999999999996</v>
      </c>
      <c r="N3" s="28">
        <v>33.5</v>
      </c>
      <c r="O3" s="15" t="str">
        <f>IF(M3&lt;0.01,"*"," ")</f>
        <v xml:space="preserve"> </v>
      </c>
    </row>
    <row r="4" spans="1:22" x14ac:dyDescent="0.3">
      <c r="A4" s="14" t="s">
        <v>31</v>
      </c>
      <c r="B4" s="15">
        <v>101</v>
      </c>
      <c r="C4" s="15">
        <v>55</v>
      </c>
      <c r="D4" s="15">
        <v>122</v>
      </c>
      <c r="E4" s="15">
        <v>113</v>
      </c>
      <c r="F4" s="15">
        <v>127</v>
      </c>
      <c r="G4" s="15">
        <v>105</v>
      </c>
      <c r="H4" s="15">
        <v>90</v>
      </c>
      <c r="I4" s="15">
        <v>116</v>
      </c>
      <c r="J4" s="15">
        <v>98</v>
      </c>
      <c r="K4" s="28">
        <f t="shared" si="0"/>
        <v>103</v>
      </c>
      <c r="L4" s="28">
        <f t="shared" si="1"/>
        <v>21.540659228538015</v>
      </c>
      <c r="M4" s="39">
        <v>2.444E-2</v>
      </c>
      <c r="N4" s="28">
        <v>14.5</v>
      </c>
      <c r="O4" s="15" t="str">
        <f t="shared" ref="O4:O50" si="2">IF(M4&lt;0.01,"*"," ")</f>
        <v xml:space="preserve"> </v>
      </c>
    </row>
    <row r="5" spans="1:22" x14ac:dyDescent="0.3">
      <c r="A5" s="14" t="s">
        <v>32</v>
      </c>
      <c r="B5" s="15">
        <v>102</v>
      </c>
      <c r="C5" s="15">
        <v>22</v>
      </c>
      <c r="D5" s="15">
        <v>45</v>
      </c>
      <c r="E5" s="15">
        <v>42</v>
      </c>
      <c r="F5" s="15">
        <v>50</v>
      </c>
      <c r="G5" s="15">
        <v>122</v>
      </c>
      <c r="H5" s="15">
        <v>91</v>
      </c>
      <c r="I5" s="15">
        <v>60</v>
      </c>
      <c r="J5" s="15">
        <v>48</v>
      </c>
      <c r="K5" s="28">
        <f t="shared" si="0"/>
        <v>64.666666666666671</v>
      </c>
      <c r="L5" s="28">
        <f t="shared" si="1"/>
        <v>32.806249404648497</v>
      </c>
      <c r="M5" s="39">
        <v>0.85716000000000003</v>
      </c>
      <c r="N5" s="28">
        <v>38</v>
      </c>
      <c r="O5" s="15" t="str">
        <f t="shared" si="2"/>
        <v xml:space="preserve"> </v>
      </c>
    </row>
    <row r="6" spans="1:22" x14ac:dyDescent="0.3">
      <c r="A6" s="14" t="s">
        <v>33</v>
      </c>
      <c r="B6" s="15">
        <v>97</v>
      </c>
      <c r="C6" s="15">
        <v>34</v>
      </c>
      <c r="D6" s="15">
        <v>54</v>
      </c>
      <c r="E6" s="15">
        <v>58</v>
      </c>
      <c r="F6" s="15">
        <v>58</v>
      </c>
      <c r="G6" s="15">
        <v>43</v>
      </c>
      <c r="H6" s="15">
        <v>123</v>
      </c>
      <c r="I6" s="15">
        <v>40</v>
      </c>
      <c r="J6" s="15">
        <v>133</v>
      </c>
      <c r="K6" s="28">
        <f t="shared" si="0"/>
        <v>71.111111111111114</v>
      </c>
      <c r="L6" s="28">
        <f t="shared" si="1"/>
        <v>37.021765369997027</v>
      </c>
      <c r="M6" s="39">
        <v>0.79486000000000001</v>
      </c>
      <c r="N6" s="28">
        <v>37</v>
      </c>
      <c r="O6" s="15" t="str">
        <f t="shared" si="2"/>
        <v xml:space="preserve"> </v>
      </c>
    </row>
    <row r="7" spans="1:22" x14ac:dyDescent="0.3">
      <c r="A7" s="14" t="s">
        <v>34</v>
      </c>
      <c r="B7" s="15">
        <v>111</v>
      </c>
      <c r="C7" s="15">
        <v>57</v>
      </c>
      <c r="D7" s="15">
        <v>69</v>
      </c>
      <c r="E7" s="15">
        <v>113</v>
      </c>
      <c r="F7" s="15">
        <v>130</v>
      </c>
      <c r="G7" s="15">
        <v>107</v>
      </c>
      <c r="H7" s="15">
        <v>97</v>
      </c>
      <c r="I7" s="15">
        <v>106</v>
      </c>
      <c r="J7" s="15">
        <v>97</v>
      </c>
      <c r="K7" s="28">
        <f t="shared" si="0"/>
        <v>98.555555555555557</v>
      </c>
      <c r="L7" s="28">
        <f t="shared" si="1"/>
        <v>22.594861756111218</v>
      </c>
      <c r="M7" s="39">
        <v>7.6719999999999997E-2</v>
      </c>
      <c r="N7" s="28">
        <v>20</v>
      </c>
      <c r="O7" s="15" t="str">
        <f t="shared" si="2"/>
        <v xml:space="preserve"> </v>
      </c>
    </row>
    <row r="8" spans="1:22" x14ac:dyDescent="0.3">
      <c r="A8" s="14" t="s">
        <v>35</v>
      </c>
      <c r="B8" s="15">
        <v>100</v>
      </c>
      <c r="C8" s="15">
        <v>74</v>
      </c>
      <c r="D8" s="15">
        <v>135</v>
      </c>
      <c r="E8" s="15">
        <v>135</v>
      </c>
      <c r="F8" s="15">
        <v>125</v>
      </c>
      <c r="G8" s="15">
        <v>165</v>
      </c>
      <c r="H8" s="15">
        <v>155</v>
      </c>
      <c r="I8" s="15">
        <v>158</v>
      </c>
      <c r="J8" s="15">
        <v>141</v>
      </c>
      <c r="K8" s="28">
        <f t="shared" si="0"/>
        <v>132</v>
      </c>
      <c r="L8" s="28">
        <f t="shared" si="1"/>
        <v>29.219000667373962</v>
      </c>
      <c r="M8" s="39">
        <v>3.62E-3</v>
      </c>
      <c r="N8" s="28">
        <v>7</v>
      </c>
      <c r="O8" s="15" t="str">
        <f t="shared" si="2"/>
        <v>*</v>
      </c>
    </row>
    <row r="9" spans="1:22" x14ac:dyDescent="0.3">
      <c r="A9" s="14" t="s">
        <v>36</v>
      </c>
      <c r="B9" s="15">
        <v>96</v>
      </c>
      <c r="C9" s="15">
        <v>47</v>
      </c>
      <c r="D9" s="15">
        <v>76</v>
      </c>
      <c r="E9" s="15">
        <v>118</v>
      </c>
      <c r="F9" s="15">
        <v>65</v>
      </c>
      <c r="G9" s="15">
        <v>108</v>
      </c>
      <c r="H9" s="15">
        <v>76</v>
      </c>
      <c r="I9" s="15">
        <v>66</v>
      </c>
      <c r="J9" s="15">
        <v>57</v>
      </c>
      <c r="K9" s="28">
        <f t="shared" si="0"/>
        <v>78.777777777777771</v>
      </c>
      <c r="L9" s="28">
        <f t="shared" si="1"/>
        <v>23.826339300120033</v>
      </c>
      <c r="M9" s="39">
        <v>0.35238000000000003</v>
      </c>
      <c r="N9" s="28">
        <v>29.5</v>
      </c>
      <c r="O9" s="15" t="str">
        <f t="shared" si="2"/>
        <v xml:space="preserve"> </v>
      </c>
    </row>
    <row r="10" spans="1:22" x14ac:dyDescent="0.3">
      <c r="A10" s="14" t="s">
        <v>37</v>
      </c>
      <c r="B10" s="15">
        <v>107</v>
      </c>
      <c r="C10" s="15">
        <v>51</v>
      </c>
      <c r="D10" s="15">
        <v>39</v>
      </c>
      <c r="E10" s="15">
        <v>32</v>
      </c>
      <c r="F10" s="15">
        <v>31</v>
      </c>
      <c r="G10" s="15">
        <v>20</v>
      </c>
      <c r="H10" s="15">
        <v>136</v>
      </c>
      <c r="I10" s="15">
        <v>22</v>
      </c>
      <c r="J10" s="15">
        <v>116</v>
      </c>
      <c r="K10" s="28">
        <f t="shared" si="0"/>
        <v>61.555555555555557</v>
      </c>
      <c r="L10" s="28">
        <f t="shared" si="1"/>
        <v>45.125134656616567</v>
      </c>
      <c r="M10" s="39">
        <v>0.42952000000000001</v>
      </c>
      <c r="N10" s="28">
        <v>31</v>
      </c>
      <c r="O10" s="15" t="str">
        <f t="shared" si="2"/>
        <v xml:space="preserve"> </v>
      </c>
    </row>
    <row r="11" spans="1:22" x14ac:dyDescent="0.3">
      <c r="A11" s="10" t="s">
        <v>80</v>
      </c>
      <c r="B11" s="15">
        <v>103</v>
      </c>
      <c r="C11" s="15">
        <v>40</v>
      </c>
      <c r="D11" s="15">
        <v>48</v>
      </c>
      <c r="E11" s="15">
        <v>111</v>
      </c>
      <c r="F11" s="15">
        <v>126</v>
      </c>
      <c r="G11" s="15">
        <v>46</v>
      </c>
      <c r="H11" s="15">
        <v>42</v>
      </c>
      <c r="I11" s="15">
        <v>57</v>
      </c>
      <c r="J11" s="15">
        <v>43</v>
      </c>
      <c r="K11" s="28">
        <f t="shared" si="0"/>
        <v>68.444444444444443</v>
      </c>
      <c r="L11" s="28">
        <f t="shared" si="1"/>
        <v>34.507648105568968</v>
      </c>
      <c r="M11" s="39">
        <v>0.79486000000000001</v>
      </c>
      <c r="N11" s="28">
        <v>37</v>
      </c>
      <c r="O11" s="15" t="str">
        <f t="shared" si="2"/>
        <v xml:space="preserve"> </v>
      </c>
    </row>
    <row r="12" spans="1:22" x14ac:dyDescent="0.3">
      <c r="A12" s="14" t="s">
        <v>91</v>
      </c>
      <c r="B12" s="15">
        <v>50</v>
      </c>
      <c r="C12" s="15">
        <v>97</v>
      </c>
      <c r="D12" s="15">
        <v>47</v>
      </c>
      <c r="E12" s="15">
        <v>107</v>
      </c>
      <c r="F12" s="15">
        <v>30</v>
      </c>
      <c r="G12" s="15">
        <v>127</v>
      </c>
      <c r="H12" s="15">
        <v>31</v>
      </c>
      <c r="I12" s="15">
        <v>31</v>
      </c>
      <c r="J12" s="15">
        <v>26</v>
      </c>
      <c r="K12" s="28">
        <f t="shared" si="0"/>
        <v>60.666666666666664</v>
      </c>
      <c r="L12" s="28">
        <f t="shared" si="1"/>
        <v>38.842631218803909</v>
      </c>
      <c r="M12" s="39">
        <v>0.45326</v>
      </c>
      <c r="N12" s="28">
        <v>31.5</v>
      </c>
      <c r="O12" s="15" t="str">
        <f t="shared" si="2"/>
        <v xml:space="preserve"> </v>
      </c>
    </row>
    <row r="13" spans="1:22" x14ac:dyDescent="0.3">
      <c r="A13" s="14" t="s">
        <v>38</v>
      </c>
      <c r="B13" s="15">
        <v>72</v>
      </c>
      <c r="C13" s="15">
        <v>83</v>
      </c>
      <c r="D13" s="15">
        <v>127</v>
      </c>
      <c r="E13" s="15">
        <v>96</v>
      </c>
      <c r="F13" s="15">
        <v>97</v>
      </c>
      <c r="G13" s="15">
        <v>141</v>
      </c>
      <c r="H13" s="15">
        <v>110</v>
      </c>
      <c r="I13" s="15">
        <v>144</v>
      </c>
      <c r="J13" s="15">
        <v>100</v>
      </c>
      <c r="K13" s="28">
        <f t="shared" si="0"/>
        <v>107.77777777777777</v>
      </c>
      <c r="L13" s="28">
        <f t="shared" si="1"/>
        <v>24.998888864196449</v>
      </c>
      <c r="M13" s="39">
        <v>5.2380000000000003E-2</v>
      </c>
      <c r="N13" s="28">
        <v>18</v>
      </c>
      <c r="O13" s="15" t="str">
        <f t="shared" si="2"/>
        <v xml:space="preserve"> </v>
      </c>
    </row>
    <row r="14" spans="1:22" x14ac:dyDescent="0.3">
      <c r="A14" s="14" t="s">
        <v>39</v>
      </c>
      <c r="B14" s="15">
        <v>111</v>
      </c>
      <c r="C14" s="15">
        <v>111</v>
      </c>
      <c r="D14" s="15">
        <v>120</v>
      </c>
      <c r="E14" s="15">
        <v>86</v>
      </c>
      <c r="F14" s="15">
        <v>57</v>
      </c>
      <c r="G14" s="15">
        <v>93</v>
      </c>
      <c r="H14" s="15">
        <v>109</v>
      </c>
      <c r="I14" s="15">
        <v>110</v>
      </c>
      <c r="J14" s="15">
        <v>95</v>
      </c>
      <c r="K14" s="28">
        <f t="shared" si="0"/>
        <v>99.111111111111114</v>
      </c>
      <c r="L14" s="28">
        <f t="shared" si="1"/>
        <v>19.153618747148315</v>
      </c>
      <c r="M14" s="39">
        <v>9.2960000000000001E-2</v>
      </c>
      <c r="N14" s="28">
        <v>21</v>
      </c>
      <c r="O14" s="15" t="str">
        <f t="shared" si="2"/>
        <v xml:space="preserve"> </v>
      </c>
    </row>
    <row r="15" spans="1:22" x14ac:dyDescent="0.3">
      <c r="A15" s="14" t="s">
        <v>40</v>
      </c>
      <c r="B15" s="15">
        <v>145</v>
      </c>
      <c r="C15" s="15">
        <v>83</v>
      </c>
      <c r="D15" s="15">
        <v>107</v>
      </c>
      <c r="E15" s="15">
        <v>92</v>
      </c>
      <c r="F15" s="15">
        <v>126</v>
      </c>
      <c r="G15" s="15">
        <v>122</v>
      </c>
      <c r="H15" s="15">
        <v>143</v>
      </c>
      <c r="I15" s="15">
        <v>151</v>
      </c>
      <c r="J15" s="15">
        <v>131</v>
      </c>
      <c r="K15" s="28">
        <f t="shared" si="0"/>
        <v>122.22222222222223</v>
      </c>
      <c r="L15" s="28">
        <f t="shared" si="1"/>
        <v>23.857796303188717</v>
      </c>
      <c r="M15" s="39">
        <v>4.6600000000000001E-3</v>
      </c>
      <c r="N15" s="28">
        <v>8</v>
      </c>
      <c r="O15" s="15" t="str">
        <f t="shared" si="2"/>
        <v>*</v>
      </c>
    </row>
    <row r="16" spans="1:22" x14ac:dyDescent="0.3">
      <c r="A16" s="14" t="s">
        <v>41</v>
      </c>
      <c r="B16" s="15">
        <v>42</v>
      </c>
      <c r="C16" s="15">
        <v>65</v>
      </c>
      <c r="D16" s="15">
        <v>63</v>
      </c>
      <c r="E16" s="15">
        <v>66</v>
      </c>
      <c r="F16" s="15">
        <v>44</v>
      </c>
      <c r="G16" s="15">
        <v>120</v>
      </c>
      <c r="H16" s="15">
        <v>137</v>
      </c>
      <c r="I16" s="15">
        <v>123</v>
      </c>
      <c r="J16" s="15">
        <v>140</v>
      </c>
      <c r="K16" s="28">
        <f t="shared" si="0"/>
        <v>88.888888888888886</v>
      </c>
      <c r="L16" s="28">
        <f t="shared" si="1"/>
        <v>40.368442019863878</v>
      </c>
      <c r="M16" s="39">
        <v>0.15853999999999999</v>
      </c>
      <c r="N16" s="28">
        <v>24</v>
      </c>
      <c r="O16" s="15" t="str">
        <f t="shared" si="2"/>
        <v xml:space="preserve"> </v>
      </c>
    </row>
    <row r="17" spans="1:15" x14ac:dyDescent="0.3">
      <c r="A17" s="14" t="s">
        <v>42</v>
      </c>
      <c r="B17" s="15">
        <v>142</v>
      </c>
      <c r="C17" s="15">
        <v>101</v>
      </c>
      <c r="D17" s="15">
        <v>86</v>
      </c>
      <c r="E17" s="15">
        <v>102</v>
      </c>
      <c r="F17" s="15">
        <v>87</v>
      </c>
      <c r="G17" s="15">
        <v>144</v>
      </c>
      <c r="H17" s="15">
        <v>154</v>
      </c>
      <c r="I17" s="15">
        <v>134</v>
      </c>
      <c r="J17" s="15">
        <v>161</v>
      </c>
      <c r="K17" s="29">
        <f>AVERAGE(B17:J17)</f>
        <v>123.44444444444444</v>
      </c>
      <c r="L17" s="29">
        <f>STDEV(B17:J17)</f>
        <v>29.40285322511707</v>
      </c>
      <c r="M17" s="39">
        <v>9.3200000000000002E-3</v>
      </c>
      <c r="N17" s="28">
        <v>10.5</v>
      </c>
      <c r="O17" s="15" t="str">
        <f>IF(M17&lt;0.01,"*"," ")</f>
        <v>*</v>
      </c>
    </row>
    <row r="18" spans="1:15" x14ac:dyDescent="0.3">
      <c r="A18" s="17" t="s">
        <v>89</v>
      </c>
      <c r="B18" s="15">
        <v>38</v>
      </c>
      <c r="C18" s="15">
        <v>51</v>
      </c>
      <c r="D18" s="15">
        <v>57</v>
      </c>
      <c r="E18" s="15">
        <v>55</v>
      </c>
      <c r="F18" s="15">
        <v>39</v>
      </c>
      <c r="G18" s="15">
        <v>120</v>
      </c>
      <c r="H18" s="15">
        <v>112</v>
      </c>
      <c r="I18" s="15">
        <v>117</v>
      </c>
      <c r="J18" s="15">
        <v>133</v>
      </c>
      <c r="K18" s="28">
        <f t="shared" ref="K18:K49" si="3">AVERAGE(B18:J18)</f>
        <v>80.222222222222229</v>
      </c>
      <c r="L18" s="28">
        <f t="shared" ref="L18:L49" si="4">STDEV(B18:J18)</f>
        <v>39.117699886936663</v>
      </c>
      <c r="M18" s="39">
        <v>0.33204</v>
      </c>
      <c r="N18" s="28">
        <v>29</v>
      </c>
      <c r="O18" s="15" t="str">
        <f t="shared" si="2"/>
        <v xml:space="preserve"> </v>
      </c>
    </row>
    <row r="19" spans="1:15" x14ac:dyDescent="0.3">
      <c r="A19" s="14" t="s">
        <v>43</v>
      </c>
      <c r="B19" s="15">
        <v>25</v>
      </c>
      <c r="C19" s="15">
        <v>51</v>
      </c>
      <c r="D19" s="15">
        <v>50</v>
      </c>
      <c r="E19" s="15">
        <v>50</v>
      </c>
      <c r="F19" s="15">
        <v>38</v>
      </c>
      <c r="G19" s="15">
        <v>104</v>
      </c>
      <c r="H19" s="15">
        <v>111</v>
      </c>
      <c r="I19" s="15">
        <v>96</v>
      </c>
      <c r="J19" s="15">
        <v>111</v>
      </c>
      <c r="K19" s="28">
        <f t="shared" si="3"/>
        <v>70.666666666666671</v>
      </c>
      <c r="L19" s="28">
        <f t="shared" si="4"/>
        <v>34.278273002005221</v>
      </c>
      <c r="M19" s="39">
        <v>0.85716000000000003</v>
      </c>
      <c r="N19" s="28">
        <v>38</v>
      </c>
      <c r="O19" s="15" t="str">
        <f t="shared" si="2"/>
        <v xml:space="preserve"> </v>
      </c>
    </row>
    <row r="20" spans="1:15" x14ac:dyDescent="0.3">
      <c r="A20" s="14" t="s">
        <v>44</v>
      </c>
      <c r="B20" s="15">
        <v>41</v>
      </c>
      <c r="C20" s="15">
        <v>64</v>
      </c>
      <c r="D20" s="15">
        <v>52</v>
      </c>
      <c r="E20" s="15">
        <v>49</v>
      </c>
      <c r="F20" s="15">
        <v>31</v>
      </c>
      <c r="G20" s="15">
        <v>122</v>
      </c>
      <c r="H20" s="15">
        <v>125</v>
      </c>
      <c r="I20" s="15">
        <v>119</v>
      </c>
      <c r="J20" s="15">
        <v>136</v>
      </c>
      <c r="K20" s="28">
        <f t="shared" si="3"/>
        <v>82.111111111111114</v>
      </c>
      <c r="L20" s="28">
        <f t="shared" si="4"/>
        <v>42.321520661610343</v>
      </c>
      <c r="M20" s="39">
        <v>0.27134000000000003</v>
      </c>
      <c r="N20" s="28">
        <v>27.5</v>
      </c>
      <c r="O20" s="15" t="str">
        <f t="shared" si="2"/>
        <v xml:space="preserve"> </v>
      </c>
    </row>
    <row r="21" spans="1:15" x14ac:dyDescent="0.3">
      <c r="A21" s="10" t="s">
        <v>78</v>
      </c>
      <c r="B21" s="15">
        <v>35</v>
      </c>
      <c r="C21" s="15">
        <v>50</v>
      </c>
      <c r="D21" s="15">
        <v>51</v>
      </c>
      <c r="E21" s="15">
        <v>58</v>
      </c>
      <c r="F21" s="15">
        <v>42</v>
      </c>
      <c r="G21" s="15">
        <v>112</v>
      </c>
      <c r="H21" s="15">
        <v>94</v>
      </c>
      <c r="I21" s="15">
        <v>125</v>
      </c>
      <c r="J21" s="15">
        <v>136</v>
      </c>
      <c r="K21" s="28">
        <f t="shared" si="3"/>
        <v>78.111111111111114</v>
      </c>
      <c r="L21" s="28">
        <f t="shared" si="4"/>
        <v>38.798983377288522</v>
      </c>
      <c r="M21" s="39">
        <v>0.37885999999999997</v>
      </c>
      <c r="N21" s="28">
        <v>30</v>
      </c>
      <c r="O21" s="15" t="str">
        <f t="shared" si="2"/>
        <v xml:space="preserve"> </v>
      </c>
    </row>
    <row r="22" spans="1:15" x14ac:dyDescent="0.3">
      <c r="A22" s="14" t="s">
        <v>45</v>
      </c>
      <c r="B22" s="15">
        <v>62</v>
      </c>
      <c r="C22" s="15">
        <v>74</v>
      </c>
      <c r="D22" s="15">
        <v>76</v>
      </c>
      <c r="E22" s="15">
        <v>70</v>
      </c>
      <c r="F22" s="15">
        <v>52</v>
      </c>
      <c r="G22" s="15">
        <v>116</v>
      </c>
      <c r="H22" s="15">
        <v>128</v>
      </c>
      <c r="I22" s="15">
        <v>135</v>
      </c>
      <c r="J22" s="15">
        <v>142</v>
      </c>
      <c r="K22" s="28">
        <f t="shared" si="3"/>
        <v>95</v>
      </c>
      <c r="L22" s="28">
        <f t="shared" si="4"/>
        <v>34.828149534535996</v>
      </c>
      <c r="M22" s="39">
        <v>7.6719999999999997E-2</v>
      </c>
      <c r="N22" s="28">
        <v>20</v>
      </c>
      <c r="O22" s="15" t="str">
        <f t="shared" si="2"/>
        <v xml:space="preserve"> </v>
      </c>
    </row>
    <row r="23" spans="1:15" x14ac:dyDescent="0.3">
      <c r="A23" s="14" t="s">
        <v>46</v>
      </c>
      <c r="B23" s="15">
        <v>11</v>
      </c>
      <c r="C23" s="15">
        <v>7</v>
      </c>
      <c r="D23" s="15">
        <v>38</v>
      </c>
      <c r="E23" s="15">
        <v>36</v>
      </c>
      <c r="F23" s="15">
        <v>36</v>
      </c>
      <c r="G23" s="15">
        <v>45</v>
      </c>
      <c r="H23" s="15">
        <v>25</v>
      </c>
      <c r="I23" s="15">
        <v>38</v>
      </c>
      <c r="J23" s="15">
        <v>41</v>
      </c>
      <c r="K23" s="28">
        <f t="shared" si="3"/>
        <v>30.777777777777779</v>
      </c>
      <c r="L23" s="28">
        <f t="shared" si="4"/>
        <v>13.488678380198868</v>
      </c>
      <c r="M23" s="39">
        <v>7.1399999999999996E-3</v>
      </c>
      <c r="N23" s="28">
        <v>9.5</v>
      </c>
      <c r="O23" s="15" t="str">
        <f t="shared" si="2"/>
        <v>*</v>
      </c>
    </row>
    <row r="24" spans="1:15" x14ac:dyDescent="0.3">
      <c r="A24" s="14" t="s">
        <v>47</v>
      </c>
      <c r="B24" s="15">
        <v>146</v>
      </c>
      <c r="C24" s="15">
        <v>132</v>
      </c>
      <c r="D24" s="15">
        <v>99</v>
      </c>
      <c r="E24" s="15">
        <v>93</v>
      </c>
      <c r="F24" s="15">
        <v>78</v>
      </c>
      <c r="G24" s="15">
        <v>80</v>
      </c>
      <c r="H24" s="15">
        <v>130</v>
      </c>
      <c r="I24" s="15">
        <v>129</v>
      </c>
      <c r="J24" s="15">
        <v>111</v>
      </c>
      <c r="K24" s="28">
        <f t="shared" si="3"/>
        <v>110.88888888888889</v>
      </c>
      <c r="L24" s="28">
        <f t="shared" si="4"/>
        <v>24.670044813723209</v>
      </c>
      <c r="M24" s="39">
        <v>2.1440000000000001E-2</v>
      </c>
      <c r="N24" s="28">
        <v>14</v>
      </c>
      <c r="O24" s="15" t="str">
        <f t="shared" si="2"/>
        <v xml:space="preserve"> </v>
      </c>
    </row>
    <row r="25" spans="1:15" x14ac:dyDescent="0.3">
      <c r="A25" s="14" t="s">
        <v>48</v>
      </c>
      <c r="B25" s="15">
        <v>46</v>
      </c>
      <c r="C25" s="15">
        <v>36</v>
      </c>
      <c r="D25" s="15">
        <v>48</v>
      </c>
      <c r="E25" s="15">
        <v>45</v>
      </c>
      <c r="F25" s="15">
        <v>44</v>
      </c>
      <c r="G25" s="15">
        <v>129</v>
      </c>
      <c r="H25" s="15">
        <v>105</v>
      </c>
      <c r="I25" s="15">
        <v>129</v>
      </c>
      <c r="J25" s="15">
        <v>129</v>
      </c>
      <c r="K25" s="28">
        <f t="shared" si="3"/>
        <v>79</v>
      </c>
      <c r="L25" s="28">
        <f t="shared" si="4"/>
        <v>42.508822613664563</v>
      </c>
      <c r="M25" s="39">
        <v>0.45326</v>
      </c>
      <c r="N25" s="28">
        <v>31.5</v>
      </c>
      <c r="O25" s="15" t="str">
        <f t="shared" si="2"/>
        <v xml:space="preserve"> </v>
      </c>
    </row>
    <row r="26" spans="1:15" x14ac:dyDescent="0.3">
      <c r="A26" s="14" t="s">
        <v>76</v>
      </c>
      <c r="B26" s="15">
        <v>44</v>
      </c>
      <c r="C26" s="15">
        <v>39</v>
      </c>
      <c r="D26" s="15">
        <v>48</v>
      </c>
      <c r="E26" s="15">
        <v>52</v>
      </c>
      <c r="F26" s="15">
        <v>43</v>
      </c>
      <c r="G26" s="15">
        <v>140</v>
      </c>
      <c r="H26" s="15">
        <v>54</v>
      </c>
      <c r="I26" s="15">
        <v>130</v>
      </c>
      <c r="J26" s="15">
        <v>150</v>
      </c>
      <c r="K26" s="28">
        <f t="shared" si="3"/>
        <v>77.777777777777771</v>
      </c>
      <c r="L26" s="28">
        <f t="shared" si="4"/>
        <v>47.150762925369982</v>
      </c>
      <c r="M26" s="39">
        <v>0.47770000000000001</v>
      </c>
      <c r="N26" s="28">
        <v>32</v>
      </c>
      <c r="O26" s="15" t="str">
        <f t="shared" si="2"/>
        <v xml:space="preserve"> </v>
      </c>
    </row>
    <row r="27" spans="1:15" x14ac:dyDescent="0.3">
      <c r="A27" s="14" t="s">
        <v>50</v>
      </c>
      <c r="B27" s="15">
        <v>55</v>
      </c>
      <c r="C27" s="15">
        <v>60</v>
      </c>
      <c r="D27" s="15">
        <v>45</v>
      </c>
      <c r="E27" s="15">
        <v>45</v>
      </c>
      <c r="F27" s="15">
        <v>36</v>
      </c>
      <c r="G27" s="15">
        <v>144</v>
      </c>
      <c r="H27" s="15">
        <v>117</v>
      </c>
      <c r="I27" s="15">
        <v>114</v>
      </c>
      <c r="J27" s="15">
        <v>134</v>
      </c>
      <c r="K27" s="28">
        <f t="shared" si="3"/>
        <v>83.333333333333329</v>
      </c>
      <c r="L27" s="28">
        <f t="shared" si="4"/>
        <v>43.08131845707603</v>
      </c>
      <c r="M27" s="39">
        <v>0.28914000000000001</v>
      </c>
      <c r="N27" s="28">
        <v>28</v>
      </c>
      <c r="O27" s="15" t="str">
        <f t="shared" si="2"/>
        <v xml:space="preserve"> </v>
      </c>
    </row>
    <row r="28" spans="1:15" x14ac:dyDescent="0.3">
      <c r="A28" s="14" t="s">
        <v>51</v>
      </c>
      <c r="B28" s="15">
        <v>43</v>
      </c>
      <c r="C28" s="15">
        <v>49</v>
      </c>
      <c r="D28" s="15">
        <v>58</v>
      </c>
      <c r="E28" s="15">
        <v>69</v>
      </c>
      <c r="F28" s="15">
        <v>49</v>
      </c>
      <c r="G28" s="15">
        <v>147</v>
      </c>
      <c r="H28" s="15">
        <v>143</v>
      </c>
      <c r="I28" s="15">
        <v>120</v>
      </c>
      <c r="J28" s="15">
        <v>132</v>
      </c>
      <c r="K28" s="28">
        <f t="shared" si="3"/>
        <v>90</v>
      </c>
      <c r="L28" s="28">
        <f t="shared" si="4"/>
        <v>44.381865666057799</v>
      </c>
      <c r="M28" s="39">
        <v>0.11183999999999999</v>
      </c>
      <c r="N28" s="28">
        <v>22</v>
      </c>
      <c r="O28" s="15" t="str">
        <f t="shared" si="2"/>
        <v xml:space="preserve"> </v>
      </c>
    </row>
    <row r="29" spans="1:15" x14ac:dyDescent="0.3">
      <c r="A29" s="14" t="s">
        <v>52</v>
      </c>
      <c r="B29" s="15">
        <v>78</v>
      </c>
      <c r="C29" s="15">
        <v>57</v>
      </c>
      <c r="D29" s="15">
        <v>64</v>
      </c>
      <c r="E29" s="15">
        <v>65</v>
      </c>
      <c r="F29" s="15">
        <v>54</v>
      </c>
      <c r="G29" s="15">
        <v>127</v>
      </c>
      <c r="H29" s="15">
        <v>116</v>
      </c>
      <c r="I29" s="15">
        <v>137</v>
      </c>
      <c r="J29" s="15">
        <v>140</v>
      </c>
      <c r="K29" s="28">
        <f t="shared" si="3"/>
        <v>93.111111111111114</v>
      </c>
      <c r="L29" s="28">
        <f t="shared" si="4"/>
        <v>36.223074291273392</v>
      </c>
      <c r="M29" s="39">
        <v>6.4320000000000002E-2</v>
      </c>
      <c r="N29" s="28">
        <v>19</v>
      </c>
      <c r="O29" s="15" t="str">
        <f t="shared" si="2"/>
        <v xml:space="preserve"> </v>
      </c>
    </row>
    <row r="30" spans="1:15" x14ac:dyDescent="0.3">
      <c r="A30" s="14" t="s">
        <v>53</v>
      </c>
      <c r="B30" s="15">
        <v>32</v>
      </c>
      <c r="C30" s="15">
        <v>56</v>
      </c>
      <c r="D30" s="15">
        <v>64</v>
      </c>
      <c r="E30" s="15">
        <v>59</v>
      </c>
      <c r="F30" s="15">
        <v>49</v>
      </c>
      <c r="G30" s="15">
        <v>130</v>
      </c>
      <c r="H30" s="15">
        <v>112</v>
      </c>
      <c r="I30" s="15">
        <v>134</v>
      </c>
      <c r="J30" s="15">
        <v>132</v>
      </c>
      <c r="K30" s="28">
        <f t="shared" si="3"/>
        <v>85.333333333333329</v>
      </c>
      <c r="L30" s="28">
        <f t="shared" si="4"/>
        <v>40.96644968751869</v>
      </c>
      <c r="M30" s="39">
        <v>0.21498</v>
      </c>
      <c r="N30" s="28">
        <v>26</v>
      </c>
      <c r="O30" s="15" t="str">
        <f t="shared" si="2"/>
        <v xml:space="preserve"> </v>
      </c>
    </row>
    <row r="31" spans="1:15" x14ac:dyDescent="0.3">
      <c r="A31" s="14" t="s">
        <v>54</v>
      </c>
      <c r="B31" s="15">
        <v>34</v>
      </c>
      <c r="C31" s="15">
        <v>39</v>
      </c>
      <c r="D31" s="15">
        <v>49</v>
      </c>
      <c r="E31" s="15">
        <v>61</v>
      </c>
      <c r="F31" s="15">
        <v>36</v>
      </c>
      <c r="G31" s="15">
        <v>126</v>
      </c>
      <c r="H31" s="15">
        <v>91</v>
      </c>
      <c r="I31" s="15">
        <v>124</v>
      </c>
      <c r="J31" s="15">
        <v>144</v>
      </c>
      <c r="K31" s="28">
        <f t="shared" si="3"/>
        <v>78.222222222222229</v>
      </c>
      <c r="L31" s="28">
        <f t="shared" si="4"/>
        <v>43.725786950544922</v>
      </c>
      <c r="M31" s="39">
        <v>0.68915999999999999</v>
      </c>
      <c r="N31" s="28">
        <v>35.5</v>
      </c>
      <c r="O31" s="15" t="str">
        <f t="shared" si="2"/>
        <v xml:space="preserve"> </v>
      </c>
    </row>
    <row r="32" spans="1:15" x14ac:dyDescent="0.3">
      <c r="A32" s="14" t="s">
        <v>83</v>
      </c>
      <c r="B32" s="15">
        <v>23</v>
      </c>
      <c r="C32" s="15">
        <v>56</v>
      </c>
      <c r="D32" s="15">
        <v>56</v>
      </c>
      <c r="E32" s="15">
        <v>53</v>
      </c>
      <c r="F32" s="15">
        <v>39</v>
      </c>
      <c r="G32" s="15">
        <v>126</v>
      </c>
      <c r="H32" s="15">
        <v>38</v>
      </c>
      <c r="I32" s="15">
        <v>135</v>
      </c>
      <c r="J32" s="15">
        <v>140</v>
      </c>
      <c r="K32" s="28">
        <f t="shared" si="3"/>
        <v>74</v>
      </c>
      <c r="L32" s="28">
        <f t="shared" si="4"/>
        <v>46.086874487211652</v>
      </c>
      <c r="M32" s="39">
        <v>0.79486000000000001</v>
      </c>
      <c r="N32" s="28">
        <v>37</v>
      </c>
      <c r="O32" s="15" t="str">
        <f t="shared" si="2"/>
        <v xml:space="preserve"> </v>
      </c>
    </row>
    <row r="33" spans="1:15" x14ac:dyDescent="0.3">
      <c r="A33" s="14" t="s">
        <v>84</v>
      </c>
      <c r="B33" s="15">
        <v>69</v>
      </c>
      <c r="C33" s="15">
        <v>45</v>
      </c>
      <c r="D33" s="15">
        <v>90</v>
      </c>
      <c r="E33" s="15">
        <v>59</v>
      </c>
      <c r="F33" s="15">
        <v>65</v>
      </c>
      <c r="G33" s="15">
        <v>103</v>
      </c>
      <c r="H33" s="15">
        <v>145</v>
      </c>
      <c r="I33" s="15">
        <v>149</v>
      </c>
      <c r="J33" s="15">
        <v>122</v>
      </c>
      <c r="K33" s="28">
        <f t="shared" si="3"/>
        <v>94.111111111111114</v>
      </c>
      <c r="L33" s="28">
        <f t="shared" si="4"/>
        <v>38.077041785190076</v>
      </c>
      <c r="M33" s="39">
        <v>0.13361999999999999</v>
      </c>
      <c r="N33" s="28">
        <v>23</v>
      </c>
      <c r="O33" s="15" t="str">
        <f t="shared" si="2"/>
        <v xml:space="preserve"> </v>
      </c>
    </row>
    <row r="34" spans="1:15" x14ac:dyDescent="0.3">
      <c r="A34" s="14" t="s">
        <v>57</v>
      </c>
      <c r="B34" s="15">
        <v>66</v>
      </c>
      <c r="C34" s="15">
        <v>33</v>
      </c>
      <c r="D34" s="15">
        <v>73</v>
      </c>
      <c r="E34" s="15">
        <v>71</v>
      </c>
      <c r="F34" s="15">
        <v>56</v>
      </c>
      <c r="G34" s="15">
        <v>89</v>
      </c>
      <c r="H34" s="15">
        <v>109</v>
      </c>
      <c r="I34" s="15">
        <v>141</v>
      </c>
      <c r="J34" s="15">
        <v>133</v>
      </c>
      <c r="K34" s="28">
        <f t="shared" si="3"/>
        <v>85.666666666666671</v>
      </c>
      <c r="L34" s="28">
        <f t="shared" si="4"/>
        <v>35.836433974378643</v>
      </c>
      <c r="M34" s="39">
        <v>0.37885999999999997</v>
      </c>
      <c r="N34" s="28">
        <v>30</v>
      </c>
      <c r="O34" s="15" t="str">
        <f t="shared" si="2"/>
        <v xml:space="preserve"> </v>
      </c>
    </row>
    <row r="35" spans="1:15" x14ac:dyDescent="0.3">
      <c r="A35" s="14" t="s">
        <v>58</v>
      </c>
      <c r="B35" s="15">
        <v>5</v>
      </c>
      <c r="C35" s="15">
        <v>28</v>
      </c>
      <c r="D35" s="15">
        <v>56</v>
      </c>
      <c r="E35" s="15">
        <v>43</v>
      </c>
      <c r="F35" s="15">
        <v>44</v>
      </c>
      <c r="G35" s="15">
        <v>56</v>
      </c>
      <c r="H35" s="15">
        <v>115</v>
      </c>
      <c r="I35" s="15">
        <v>149</v>
      </c>
      <c r="J35" s="15">
        <v>135</v>
      </c>
      <c r="K35" s="28">
        <f t="shared" si="3"/>
        <v>70.111111111111114</v>
      </c>
      <c r="L35" s="28">
        <f t="shared" si="4"/>
        <v>50.344921403366115</v>
      </c>
      <c r="M35" s="39">
        <v>0.85716000000000003</v>
      </c>
      <c r="N35" s="28">
        <v>38</v>
      </c>
      <c r="O35" s="15" t="str">
        <f t="shared" si="2"/>
        <v xml:space="preserve"> </v>
      </c>
    </row>
    <row r="36" spans="1:15" x14ac:dyDescent="0.3">
      <c r="A36" s="14" t="s">
        <v>59</v>
      </c>
      <c r="B36" s="15">
        <v>35</v>
      </c>
      <c r="C36" s="15">
        <v>28</v>
      </c>
      <c r="D36" s="15">
        <v>71</v>
      </c>
      <c r="E36" s="15">
        <v>56</v>
      </c>
      <c r="F36" s="15">
        <v>50</v>
      </c>
      <c r="G36" s="15">
        <v>69</v>
      </c>
      <c r="H36" s="15">
        <v>107</v>
      </c>
      <c r="I36" s="15">
        <v>108</v>
      </c>
      <c r="J36" s="15">
        <v>38</v>
      </c>
      <c r="K36" s="28">
        <f t="shared" si="3"/>
        <v>62.444444444444443</v>
      </c>
      <c r="L36" s="28">
        <f t="shared" si="4"/>
        <v>29.390096593542822</v>
      </c>
      <c r="M36" s="39">
        <v>0.72633999999999999</v>
      </c>
      <c r="N36" s="28">
        <v>36</v>
      </c>
      <c r="O36" s="15" t="str">
        <f t="shared" si="2"/>
        <v xml:space="preserve"> </v>
      </c>
    </row>
    <row r="37" spans="1:15" x14ac:dyDescent="0.3">
      <c r="A37" s="14" t="s">
        <v>85</v>
      </c>
      <c r="B37" s="15">
        <v>72</v>
      </c>
      <c r="C37" s="15">
        <v>66</v>
      </c>
      <c r="D37" s="15">
        <v>102</v>
      </c>
      <c r="E37" s="15">
        <v>79</v>
      </c>
      <c r="F37" s="15">
        <v>81</v>
      </c>
      <c r="G37" s="15">
        <v>89</v>
      </c>
      <c r="H37" s="15">
        <v>138</v>
      </c>
      <c r="I37" s="15">
        <v>157</v>
      </c>
      <c r="J37" s="15">
        <v>126</v>
      </c>
      <c r="K37" s="28">
        <f t="shared" si="3"/>
        <v>101.11111111111111</v>
      </c>
      <c r="L37" s="28">
        <f t="shared" si="4"/>
        <v>32.06417176711588</v>
      </c>
      <c r="M37" s="39">
        <v>6.4320000000000002E-2</v>
      </c>
      <c r="N37" s="28">
        <v>19</v>
      </c>
      <c r="O37" s="15" t="str">
        <f t="shared" si="2"/>
        <v xml:space="preserve"> </v>
      </c>
    </row>
    <row r="38" spans="1:15" x14ac:dyDescent="0.3">
      <c r="A38" s="14" t="s">
        <v>61</v>
      </c>
      <c r="B38" s="15">
        <v>26</v>
      </c>
      <c r="C38" s="15">
        <v>44</v>
      </c>
      <c r="D38" s="15">
        <v>53</v>
      </c>
      <c r="E38" s="15">
        <v>61</v>
      </c>
      <c r="F38" s="15">
        <v>58</v>
      </c>
      <c r="G38" s="15">
        <v>71</v>
      </c>
      <c r="H38" s="15">
        <v>43</v>
      </c>
      <c r="I38" s="15">
        <v>133</v>
      </c>
      <c r="J38" s="15">
        <v>110</v>
      </c>
      <c r="K38" s="28">
        <f t="shared" si="3"/>
        <v>66.555555555555557</v>
      </c>
      <c r="L38" s="28">
        <f t="shared" si="4"/>
        <v>34.128840850192631</v>
      </c>
      <c r="M38" s="39">
        <v>0.92827999999999999</v>
      </c>
      <c r="N38" s="28">
        <v>39</v>
      </c>
      <c r="O38" s="15" t="str">
        <f t="shared" si="2"/>
        <v xml:space="preserve"> </v>
      </c>
    </row>
    <row r="39" spans="1:15" x14ac:dyDescent="0.3">
      <c r="A39" s="14" t="s">
        <v>12</v>
      </c>
      <c r="B39" s="15">
        <v>123</v>
      </c>
      <c r="C39" s="15">
        <v>126</v>
      </c>
      <c r="D39" s="15">
        <v>117</v>
      </c>
      <c r="E39" s="15">
        <v>125</v>
      </c>
      <c r="F39" s="15">
        <v>116</v>
      </c>
      <c r="G39" s="15">
        <v>111</v>
      </c>
      <c r="H39" s="15">
        <v>61</v>
      </c>
      <c r="I39" s="15">
        <v>117</v>
      </c>
      <c r="J39" s="15">
        <v>93</v>
      </c>
      <c r="K39" s="28">
        <f t="shared" si="3"/>
        <v>109.88888888888889</v>
      </c>
      <c r="L39" s="28">
        <f t="shared" si="4"/>
        <v>20.84133179792288</v>
      </c>
      <c r="M39" s="39">
        <v>6.1399999999999996E-3</v>
      </c>
      <c r="N39" s="28">
        <v>9</v>
      </c>
      <c r="O39" s="15" t="str">
        <f t="shared" si="2"/>
        <v>*</v>
      </c>
    </row>
    <row r="40" spans="1:15" x14ac:dyDescent="0.3">
      <c r="A40" s="14" t="s">
        <v>62</v>
      </c>
      <c r="B40" s="15">
        <v>21</v>
      </c>
      <c r="C40" s="15">
        <v>23</v>
      </c>
      <c r="D40" s="15">
        <v>45</v>
      </c>
      <c r="E40" s="15">
        <v>50</v>
      </c>
      <c r="F40" s="15">
        <v>45</v>
      </c>
      <c r="G40" s="15">
        <v>64</v>
      </c>
      <c r="H40" s="15">
        <v>101</v>
      </c>
      <c r="I40" s="15">
        <v>133</v>
      </c>
      <c r="J40" s="15">
        <v>108</v>
      </c>
      <c r="K40" s="28">
        <f t="shared" si="3"/>
        <v>65.555555555555557</v>
      </c>
      <c r="L40" s="28">
        <f t="shared" si="4"/>
        <v>39.516171092070365</v>
      </c>
      <c r="M40" s="39">
        <v>0.89656000000000002</v>
      </c>
      <c r="N40" s="28">
        <v>38.5</v>
      </c>
      <c r="O40" s="15" t="str">
        <f t="shared" si="2"/>
        <v xml:space="preserve"> </v>
      </c>
    </row>
    <row r="41" spans="1:15" x14ac:dyDescent="0.3">
      <c r="A41" s="14" t="s">
        <v>63</v>
      </c>
      <c r="B41" s="15">
        <v>45</v>
      </c>
      <c r="C41" s="15">
        <v>34</v>
      </c>
      <c r="D41" s="15">
        <v>65</v>
      </c>
      <c r="E41" s="15">
        <v>60</v>
      </c>
      <c r="F41" s="15">
        <v>63</v>
      </c>
      <c r="G41" s="15">
        <v>79</v>
      </c>
      <c r="H41" s="15">
        <v>112</v>
      </c>
      <c r="I41" s="15">
        <v>117</v>
      </c>
      <c r="J41" s="15">
        <v>86</v>
      </c>
      <c r="K41" s="28">
        <f t="shared" si="3"/>
        <v>73.444444444444443</v>
      </c>
      <c r="L41" s="28">
        <f t="shared" si="4"/>
        <v>28.058470695634455</v>
      </c>
      <c r="M41" s="39">
        <v>0.56867999999999996</v>
      </c>
      <c r="N41" s="28">
        <v>33.5</v>
      </c>
      <c r="O41" s="15" t="str">
        <f t="shared" si="2"/>
        <v xml:space="preserve"> </v>
      </c>
    </row>
    <row r="42" spans="1:15" x14ac:dyDescent="0.3">
      <c r="A42" s="14" t="s">
        <v>64</v>
      </c>
      <c r="B42" s="15">
        <v>22</v>
      </c>
      <c r="C42" s="15">
        <v>38</v>
      </c>
      <c r="D42" s="15">
        <v>52</v>
      </c>
      <c r="E42" s="15">
        <v>62</v>
      </c>
      <c r="F42" s="15">
        <v>46</v>
      </c>
      <c r="G42" s="15">
        <v>74</v>
      </c>
      <c r="H42" s="15">
        <v>83</v>
      </c>
      <c r="I42" s="15">
        <v>129</v>
      </c>
      <c r="J42" s="15">
        <v>138</v>
      </c>
      <c r="K42" s="28">
        <f t="shared" si="3"/>
        <v>71.555555555555557</v>
      </c>
      <c r="L42" s="28">
        <f t="shared" si="4"/>
        <v>39.623576034701578</v>
      </c>
      <c r="M42" s="39">
        <v>0.82587999999999995</v>
      </c>
      <c r="N42" s="28">
        <v>37.5</v>
      </c>
      <c r="O42" s="15" t="str">
        <f t="shared" si="2"/>
        <v xml:space="preserve"> </v>
      </c>
    </row>
    <row r="43" spans="1:15" x14ac:dyDescent="0.3">
      <c r="A43" s="14" t="s">
        <v>17</v>
      </c>
      <c r="B43" s="15">
        <v>29</v>
      </c>
      <c r="C43" s="15">
        <v>39</v>
      </c>
      <c r="D43" s="15">
        <v>68</v>
      </c>
      <c r="E43" s="15">
        <v>60</v>
      </c>
      <c r="F43" s="15">
        <v>50</v>
      </c>
      <c r="G43" s="15">
        <v>75</v>
      </c>
      <c r="H43" s="15">
        <v>77</v>
      </c>
      <c r="I43" s="15">
        <v>128</v>
      </c>
      <c r="J43" s="15">
        <v>84</v>
      </c>
      <c r="K43" s="28">
        <f t="shared" si="3"/>
        <v>67.777777777777771</v>
      </c>
      <c r="L43" s="28">
        <f t="shared" si="4"/>
        <v>29.016278955862767</v>
      </c>
      <c r="M43" s="39">
        <v>0.96809999999999996</v>
      </c>
      <c r="N43" s="28">
        <v>39.5</v>
      </c>
      <c r="O43" s="15" t="str">
        <f t="shared" si="2"/>
        <v xml:space="preserve"> </v>
      </c>
    </row>
    <row r="44" spans="1:15" x14ac:dyDescent="0.3">
      <c r="A44" s="14" t="s">
        <v>65</v>
      </c>
      <c r="B44" s="15">
        <v>29</v>
      </c>
      <c r="C44" s="15">
        <v>42</v>
      </c>
      <c r="D44" s="15">
        <v>53</v>
      </c>
      <c r="E44" s="15">
        <v>64</v>
      </c>
      <c r="F44" s="15">
        <v>51</v>
      </c>
      <c r="G44" s="15">
        <v>65</v>
      </c>
      <c r="H44" s="15">
        <v>98</v>
      </c>
      <c r="I44" s="15">
        <v>80</v>
      </c>
      <c r="J44" s="15">
        <v>72</v>
      </c>
      <c r="K44" s="28">
        <f t="shared" si="3"/>
        <v>61.555555555555557</v>
      </c>
      <c r="L44" s="28">
        <f t="shared" si="4"/>
        <v>20.68278940998475</v>
      </c>
      <c r="M44" s="39">
        <v>1</v>
      </c>
      <c r="N44" s="28">
        <v>40</v>
      </c>
      <c r="O44" s="15" t="str">
        <f t="shared" si="2"/>
        <v xml:space="preserve"> </v>
      </c>
    </row>
    <row r="45" spans="1:15" x14ac:dyDescent="0.3">
      <c r="A45" s="14" t="s">
        <v>66</v>
      </c>
      <c r="B45" s="15">
        <v>25</v>
      </c>
      <c r="C45" s="15">
        <v>43</v>
      </c>
      <c r="D45" s="15">
        <v>60</v>
      </c>
      <c r="E45" s="15">
        <v>57</v>
      </c>
      <c r="F45" s="15">
        <v>48</v>
      </c>
      <c r="G45" s="15">
        <v>62</v>
      </c>
      <c r="H45" s="15">
        <v>50</v>
      </c>
      <c r="I45" s="15">
        <v>82</v>
      </c>
      <c r="J45" s="15">
        <v>108</v>
      </c>
      <c r="K45" s="28">
        <f t="shared" si="3"/>
        <v>59.444444444444443</v>
      </c>
      <c r="L45" s="28">
        <f t="shared" si="4"/>
        <v>23.864781117323869</v>
      </c>
      <c r="M45" s="39">
        <v>1</v>
      </c>
      <c r="N45" s="28">
        <v>40</v>
      </c>
      <c r="O45" s="15" t="str">
        <f t="shared" si="2"/>
        <v xml:space="preserve"> </v>
      </c>
    </row>
    <row r="46" spans="1:15" x14ac:dyDescent="0.3">
      <c r="A46" s="14" t="s">
        <v>67</v>
      </c>
      <c r="B46" s="15">
        <v>38</v>
      </c>
      <c r="C46" s="15">
        <v>47</v>
      </c>
      <c r="D46" s="15">
        <v>65</v>
      </c>
      <c r="E46" s="15">
        <v>60</v>
      </c>
      <c r="F46" s="15">
        <v>48</v>
      </c>
      <c r="G46" s="15">
        <v>57</v>
      </c>
      <c r="H46" s="15">
        <v>75</v>
      </c>
      <c r="I46" s="15">
        <v>95</v>
      </c>
      <c r="J46" s="15">
        <v>91</v>
      </c>
      <c r="K46" s="28">
        <f t="shared" si="3"/>
        <v>64</v>
      </c>
      <c r="L46" s="28">
        <f t="shared" si="4"/>
        <v>19.678668654154428</v>
      </c>
      <c r="M46" s="39">
        <v>0.89656000000000002</v>
      </c>
      <c r="N46" s="28">
        <v>38.5</v>
      </c>
      <c r="O46" s="15" t="str">
        <f t="shared" si="2"/>
        <v xml:space="preserve"> </v>
      </c>
    </row>
    <row r="47" spans="1:15" x14ac:dyDescent="0.3">
      <c r="A47" s="14" t="s">
        <v>68</v>
      </c>
      <c r="B47" s="15">
        <v>47</v>
      </c>
      <c r="C47" s="15">
        <v>41</v>
      </c>
      <c r="D47" s="15">
        <v>65</v>
      </c>
      <c r="E47" s="15">
        <v>67</v>
      </c>
      <c r="F47" s="15">
        <v>52</v>
      </c>
      <c r="G47" s="15">
        <v>88</v>
      </c>
      <c r="H47" s="15">
        <v>84</v>
      </c>
      <c r="I47" s="15">
        <v>81</v>
      </c>
      <c r="J47" s="15">
        <v>66</v>
      </c>
      <c r="K47" s="28">
        <f t="shared" si="3"/>
        <v>65.666666666666671</v>
      </c>
      <c r="L47" s="28">
        <f t="shared" si="4"/>
        <v>16.643316977093239</v>
      </c>
      <c r="M47" s="39">
        <v>0.72633999999999999</v>
      </c>
      <c r="N47" s="28">
        <v>36</v>
      </c>
      <c r="O47" s="15" t="str">
        <f t="shared" si="2"/>
        <v xml:space="preserve"> </v>
      </c>
    </row>
    <row r="48" spans="1:15" x14ac:dyDescent="0.3">
      <c r="A48" s="14" t="s">
        <v>69</v>
      </c>
      <c r="B48" s="15">
        <v>106</v>
      </c>
      <c r="C48" s="15">
        <v>98</v>
      </c>
      <c r="D48" s="15">
        <v>112</v>
      </c>
      <c r="E48" s="15">
        <v>105</v>
      </c>
      <c r="F48" s="15">
        <v>116</v>
      </c>
      <c r="G48" s="15">
        <v>121</v>
      </c>
      <c r="H48" s="15">
        <v>141</v>
      </c>
      <c r="I48" s="15">
        <v>136</v>
      </c>
      <c r="J48" s="15">
        <v>125</v>
      </c>
      <c r="K48" s="28">
        <f t="shared" si="3"/>
        <v>117.77777777777777</v>
      </c>
      <c r="L48" s="28">
        <f t="shared" si="4"/>
        <v>14.420278930882207</v>
      </c>
      <c r="M48" s="39">
        <v>4.6600000000000001E-3</v>
      </c>
      <c r="N48" s="28">
        <v>8</v>
      </c>
      <c r="O48" s="15" t="str">
        <f t="shared" si="2"/>
        <v>*</v>
      </c>
    </row>
    <row r="49" spans="1:21" x14ac:dyDescent="0.3">
      <c r="A49" s="14" t="s">
        <v>0</v>
      </c>
      <c r="B49" s="15">
        <v>105</v>
      </c>
      <c r="C49" s="15">
        <v>111</v>
      </c>
      <c r="D49" s="15">
        <v>118</v>
      </c>
      <c r="E49" s="15">
        <v>136</v>
      </c>
      <c r="F49" s="15">
        <v>118</v>
      </c>
      <c r="G49" s="15">
        <v>136</v>
      </c>
      <c r="H49" s="15">
        <v>152</v>
      </c>
      <c r="I49" s="15">
        <v>180</v>
      </c>
      <c r="J49" s="15">
        <v>154</v>
      </c>
      <c r="K49" s="28">
        <f t="shared" si="3"/>
        <v>134.44444444444446</v>
      </c>
      <c r="L49" s="28">
        <f t="shared" si="4"/>
        <v>24.31106286812194</v>
      </c>
      <c r="M49" s="39">
        <v>1.2800000000000001E-3</v>
      </c>
      <c r="N49" s="28">
        <v>4</v>
      </c>
      <c r="O49" s="15" t="str">
        <f t="shared" si="2"/>
        <v>*</v>
      </c>
    </row>
    <row r="50" spans="1:21" x14ac:dyDescent="0.3">
      <c r="A50" s="10" t="s">
        <v>79</v>
      </c>
      <c r="B50" s="15">
        <v>99</v>
      </c>
      <c r="C50" s="15">
        <v>53</v>
      </c>
      <c r="D50" s="15">
        <v>136</v>
      </c>
      <c r="E50" s="15">
        <v>105</v>
      </c>
      <c r="F50" s="15">
        <f>11-1</f>
        <v>10</v>
      </c>
      <c r="G50" s="15">
        <f>81-11</f>
        <v>70</v>
      </c>
      <c r="H50" s="15">
        <f>84-8</f>
        <v>76</v>
      </c>
      <c r="I50" s="15">
        <f>42-4</f>
        <v>38</v>
      </c>
      <c r="J50" s="15" t="s">
        <v>27</v>
      </c>
      <c r="K50" s="28">
        <f>AVERAGE(B50:I50)</f>
        <v>73.375</v>
      </c>
      <c r="L50" s="28">
        <f>STDEV(B50:I50)</f>
        <v>40.142380525894502</v>
      </c>
      <c r="M50" s="39">
        <v>0.88866000000000001</v>
      </c>
      <c r="N50" s="28">
        <v>34</v>
      </c>
      <c r="O50" s="15" t="str">
        <f t="shared" si="2"/>
        <v xml:space="preserve"> </v>
      </c>
    </row>
    <row r="51" spans="1:21" x14ac:dyDescent="0.3">
      <c r="A51" s="14"/>
    </row>
    <row r="52" spans="1:21" x14ac:dyDescent="0.3">
      <c r="A52" s="15"/>
      <c r="P52" s="13"/>
    </row>
    <row r="53" spans="1:21" x14ac:dyDescent="0.3">
      <c r="A53" s="15"/>
      <c r="P53" s="13"/>
    </row>
    <row r="54" spans="1:21" x14ac:dyDescent="0.3">
      <c r="A54" s="15"/>
    </row>
    <row r="55" spans="1:21" x14ac:dyDescent="0.3">
      <c r="A55" s="15"/>
    </row>
    <row r="56" spans="1:21" x14ac:dyDescent="0.3">
      <c r="A56" s="15"/>
    </row>
    <row r="57" spans="1:21" x14ac:dyDescent="0.3">
      <c r="A57" s="15"/>
    </row>
    <row r="58" spans="1:21" x14ac:dyDescent="0.3">
      <c r="A58" s="15"/>
    </row>
    <row r="59" spans="1:21" x14ac:dyDescent="0.3">
      <c r="A59" s="15"/>
    </row>
    <row r="60" spans="1:21" x14ac:dyDescent="0.3">
      <c r="A60" s="15"/>
    </row>
    <row r="61" spans="1:21" x14ac:dyDescent="0.3">
      <c r="A61" s="15"/>
    </row>
    <row r="62" spans="1:21" x14ac:dyDescent="0.3">
      <c r="A62" s="15"/>
      <c r="U62" s="15" t="s">
        <v>27</v>
      </c>
    </row>
    <row r="69" spans="34:34" x14ac:dyDescent="0.3">
      <c r="AH69" s="15" t="s">
        <v>27</v>
      </c>
    </row>
  </sheetData>
  <mergeCells count="1">
    <mergeCell ref="M1:O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3"/>
  <sheetViews>
    <sheetView zoomScale="70" zoomScaleNormal="70" workbookViewId="0">
      <selection activeCell="R6" sqref="R6"/>
    </sheetView>
  </sheetViews>
  <sheetFormatPr defaultRowHeight="14.4" x14ac:dyDescent="0.3"/>
  <cols>
    <col min="1" max="1" width="30.6640625" customWidth="1"/>
    <col min="2" max="13" width="15.6640625" customWidth="1"/>
    <col min="16" max="16" width="11.33203125" style="40" customWidth="1"/>
  </cols>
  <sheetData>
    <row r="1" spans="1:16" x14ac:dyDescent="0.3">
      <c r="A1" s="14" t="s">
        <v>81</v>
      </c>
      <c r="B1" s="10" t="s">
        <v>14</v>
      </c>
      <c r="C1" s="10" t="s">
        <v>15</v>
      </c>
      <c r="D1" s="10" t="s">
        <v>16</v>
      </c>
      <c r="E1" s="10" t="s">
        <v>70</v>
      </c>
      <c r="F1" s="10" t="s">
        <v>71</v>
      </c>
      <c r="G1" s="10" t="s">
        <v>72</v>
      </c>
      <c r="H1" s="10" t="s">
        <v>73</v>
      </c>
      <c r="I1" s="10" t="s">
        <v>74</v>
      </c>
      <c r="J1" s="10" t="s">
        <v>75</v>
      </c>
      <c r="K1" s="10" t="s">
        <v>77</v>
      </c>
      <c r="L1" s="10" t="s">
        <v>18</v>
      </c>
      <c r="M1" s="10" t="s">
        <v>19</v>
      </c>
      <c r="N1" s="46" t="s">
        <v>98</v>
      </c>
      <c r="O1" s="46"/>
      <c r="P1" s="46"/>
    </row>
    <row r="2" spans="1:16" x14ac:dyDescent="0.3">
      <c r="A2" s="10" t="s">
        <v>90</v>
      </c>
      <c r="B2">
        <v>-1</v>
      </c>
      <c r="C2">
        <v>-3</v>
      </c>
      <c r="D2">
        <v>7</v>
      </c>
      <c r="E2">
        <v>6</v>
      </c>
      <c r="F2">
        <v>2</v>
      </c>
      <c r="G2">
        <v>-1</v>
      </c>
      <c r="H2">
        <v>12</v>
      </c>
      <c r="I2">
        <v>13</v>
      </c>
      <c r="J2">
        <v>10</v>
      </c>
      <c r="K2">
        <v>15</v>
      </c>
      <c r="L2" s="27">
        <f t="shared" ref="L2:L49" si="0">AVERAGE(B2:K2)</f>
        <v>6</v>
      </c>
      <c r="M2" s="27">
        <f t="shared" ref="M2:M49" si="1">STDEV(B2:K2)</f>
        <v>6.4807406984078604</v>
      </c>
      <c r="N2" s="38" t="s">
        <v>96</v>
      </c>
      <c r="O2" s="37" t="s">
        <v>97</v>
      </c>
      <c r="P2" s="37" t="s">
        <v>99</v>
      </c>
    </row>
    <row r="3" spans="1:16" x14ac:dyDescent="0.3">
      <c r="A3" s="10" t="s">
        <v>30</v>
      </c>
      <c r="B3">
        <v>11</v>
      </c>
      <c r="C3">
        <v>1</v>
      </c>
      <c r="D3">
        <v>16</v>
      </c>
      <c r="E3">
        <v>16</v>
      </c>
      <c r="F3">
        <v>16</v>
      </c>
      <c r="G3">
        <v>15</v>
      </c>
      <c r="H3">
        <v>25</v>
      </c>
      <c r="I3">
        <v>31</v>
      </c>
      <c r="J3">
        <v>14</v>
      </c>
      <c r="K3">
        <v>18</v>
      </c>
      <c r="L3" s="27">
        <f t="shared" si="0"/>
        <v>16.3</v>
      </c>
      <c r="M3" s="27">
        <f t="shared" si="1"/>
        <v>7.9169298201877334</v>
      </c>
      <c r="N3" s="41">
        <v>4.1000000000000003E-3</v>
      </c>
      <c r="O3" s="27">
        <v>11.5</v>
      </c>
      <c r="P3" s="40" t="str">
        <f>IF(N3&lt;0.01,"*"," ")</f>
        <v>*</v>
      </c>
    </row>
    <row r="4" spans="1:16" x14ac:dyDescent="0.3">
      <c r="A4" s="10" t="s">
        <v>31</v>
      </c>
      <c r="B4">
        <v>22</v>
      </c>
      <c r="C4">
        <v>20</v>
      </c>
      <c r="D4">
        <v>25</v>
      </c>
      <c r="E4">
        <v>21</v>
      </c>
      <c r="F4">
        <v>4</v>
      </c>
      <c r="G4">
        <v>7</v>
      </c>
      <c r="H4">
        <v>4</v>
      </c>
      <c r="I4">
        <v>14</v>
      </c>
      <c r="J4">
        <v>19</v>
      </c>
      <c r="K4">
        <v>14</v>
      </c>
      <c r="L4" s="27">
        <f t="shared" si="0"/>
        <v>15</v>
      </c>
      <c r="M4" s="27">
        <f t="shared" si="1"/>
        <v>7.7028133388608957</v>
      </c>
      <c r="N4" s="41">
        <v>1.9279999999999999E-2</v>
      </c>
      <c r="O4" s="27">
        <v>18.5</v>
      </c>
      <c r="P4" s="40" t="str">
        <f t="shared" ref="P4:P50" si="2">IF(N4&lt;0.01,"*"," ")</f>
        <v xml:space="preserve"> </v>
      </c>
    </row>
    <row r="5" spans="1:16" x14ac:dyDescent="0.3">
      <c r="A5" s="10" t="s">
        <v>32</v>
      </c>
      <c r="B5">
        <v>1</v>
      </c>
      <c r="C5">
        <v>20</v>
      </c>
      <c r="D5">
        <v>9</v>
      </c>
      <c r="E5">
        <v>26</v>
      </c>
      <c r="F5">
        <v>6</v>
      </c>
      <c r="G5">
        <v>0</v>
      </c>
      <c r="H5">
        <v>0</v>
      </c>
      <c r="I5">
        <v>3</v>
      </c>
      <c r="J5">
        <v>5</v>
      </c>
      <c r="K5">
        <v>-1</v>
      </c>
      <c r="L5" s="27">
        <f t="shared" si="0"/>
        <v>6.9</v>
      </c>
      <c r="M5" s="27">
        <f t="shared" si="1"/>
        <v>9.1463411020776793</v>
      </c>
      <c r="N5" s="41">
        <v>1</v>
      </c>
      <c r="O5" s="27">
        <v>49.5</v>
      </c>
      <c r="P5" s="40" t="str">
        <f t="shared" si="2"/>
        <v xml:space="preserve"> </v>
      </c>
    </row>
    <row r="6" spans="1:16" x14ac:dyDescent="0.3">
      <c r="A6" s="10" t="s">
        <v>33</v>
      </c>
      <c r="B6">
        <v>35</v>
      </c>
      <c r="C6">
        <v>29</v>
      </c>
      <c r="D6">
        <v>33</v>
      </c>
      <c r="E6">
        <v>28</v>
      </c>
      <c r="F6">
        <v>26</v>
      </c>
      <c r="G6">
        <v>27</v>
      </c>
      <c r="H6">
        <v>27</v>
      </c>
      <c r="I6">
        <v>31</v>
      </c>
      <c r="J6">
        <v>32</v>
      </c>
      <c r="K6">
        <v>24</v>
      </c>
      <c r="L6" s="27">
        <f t="shared" si="0"/>
        <v>29.2</v>
      </c>
      <c r="M6" s="27">
        <f t="shared" si="1"/>
        <v>3.4576806613039897</v>
      </c>
      <c r="N6" s="41">
        <v>1.8000000000000001E-4</v>
      </c>
      <c r="O6" s="27">
        <v>0</v>
      </c>
      <c r="P6" s="40" t="str">
        <f t="shared" si="2"/>
        <v>*</v>
      </c>
    </row>
    <row r="7" spans="1:16" x14ac:dyDescent="0.3">
      <c r="A7" s="10" t="s">
        <v>34</v>
      </c>
      <c r="B7">
        <v>19</v>
      </c>
      <c r="C7">
        <v>13</v>
      </c>
      <c r="D7">
        <v>19</v>
      </c>
      <c r="E7">
        <v>19</v>
      </c>
      <c r="F7">
        <v>15</v>
      </c>
      <c r="G7">
        <v>10</v>
      </c>
      <c r="H7">
        <v>24</v>
      </c>
      <c r="I7">
        <v>25</v>
      </c>
      <c r="J7">
        <v>12</v>
      </c>
      <c r="K7">
        <v>23</v>
      </c>
      <c r="L7" s="27">
        <f t="shared" si="0"/>
        <v>17.899999999999999</v>
      </c>
      <c r="M7" s="27">
        <f t="shared" si="1"/>
        <v>5.2376839665383921</v>
      </c>
      <c r="N7" s="41">
        <v>1.6800000000000001E-3</v>
      </c>
      <c r="O7" s="27">
        <v>8</v>
      </c>
      <c r="P7" s="40" t="str">
        <f t="shared" si="2"/>
        <v>*</v>
      </c>
    </row>
    <row r="8" spans="1:16" x14ac:dyDescent="0.3">
      <c r="A8" s="10" t="s">
        <v>35</v>
      </c>
      <c r="B8">
        <v>16</v>
      </c>
      <c r="C8">
        <v>8</v>
      </c>
      <c r="D8">
        <v>16</v>
      </c>
      <c r="E8">
        <v>15</v>
      </c>
      <c r="F8">
        <v>10</v>
      </c>
      <c r="G8">
        <v>11</v>
      </c>
      <c r="H8">
        <v>6</v>
      </c>
      <c r="I8">
        <v>7</v>
      </c>
      <c r="J8">
        <v>1</v>
      </c>
      <c r="K8">
        <v>7</v>
      </c>
      <c r="L8" s="27">
        <f t="shared" si="0"/>
        <v>9.6999999999999993</v>
      </c>
      <c r="M8" s="27">
        <f t="shared" si="1"/>
        <v>4.9001133773731311</v>
      </c>
      <c r="N8" s="41">
        <v>0.19706000000000001</v>
      </c>
      <c r="O8" s="27">
        <v>32.5</v>
      </c>
      <c r="P8" s="40" t="str">
        <f t="shared" si="2"/>
        <v xml:space="preserve"> </v>
      </c>
    </row>
    <row r="9" spans="1:16" x14ac:dyDescent="0.3">
      <c r="A9" s="10" t="s">
        <v>36</v>
      </c>
      <c r="B9">
        <v>13</v>
      </c>
      <c r="C9">
        <v>15</v>
      </c>
      <c r="D9">
        <v>20</v>
      </c>
      <c r="E9">
        <v>27</v>
      </c>
      <c r="F9">
        <v>6</v>
      </c>
      <c r="G9">
        <v>15</v>
      </c>
      <c r="H9">
        <v>12</v>
      </c>
      <c r="I9">
        <v>15</v>
      </c>
      <c r="J9">
        <v>12</v>
      </c>
      <c r="K9">
        <v>11</v>
      </c>
      <c r="L9" s="27">
        <f t="shared" si="0"/>
        <v>14.6</v>
      </c>
      <c r="M9" s="27">
        <f t="shared" si="1"/>
        <v>5.6411188803483157</v>
      </c>
      <c r="N9" s="41">
        <v>1.278E-2</v>
      </c>
      <c r="O9" s="27">
        <v>16.5</v>
      </c>
      <c r="P9" s="40" t="str">
        <f t="shared" si="2"/>
        <v xml:space="preserve"> </v>
      </c>
    </row>
    <row r="10" spans="1:16" x14ac:dyDescent="0.3">
      <c r="A10" s="10" t="s">
        <v>37</v>
      </c>
      <c r="B10">
        <v>17</v>
      </c>
      <c r="C10">
        <v>8</v>
      </c>
      <c r="D10">
        <v>15</v>
      </c>
      <c r="E10">
        <v>2</v>
      </c>
      <c r="F10">
        <v>1</v>
      </c>
      <c r="G10">
        <v>-5</v>
      </c>
      <c r="H10">
        <v>-2</v>
      </c>
      <c r="I10">
        <v>2</v>
      </c>
      <c r="J10">
        <v>5</v>
      </c>
      <c r="K10">
        <v>5</v>
      </c>
      <c r="L10" s="27">
        <f t="shared" si="0"/>
        <v>4.8</v>
      </c>
      <c r="M10" s="27">
        <f t="shared" si="1"/>
        <v>6.957010852370435</v>
      </c>
      <c r="N10" s="41">
        <v>0.70394000000000001</v>
      </c>
      <c r="O10" s="27">
        <v>44.5</v>
      </c>
      <c r="P10" s="40" t="str">
        <f t="shared" si="2"/>
        <v xml:space="preserve"> </v>
      </c>
    </row>
    <row r="11" spans="1:16" x14ac:dyDescent="0.3">
      <c r="A11" s="10" t="s">
        <v>80</v>
      </c>
      <c r="B11">
        <v>9</v>
      </c>
      <c r="C11">
        <v>6</v>
      </c>
      <c r="D11">
        <v>13</v>
      </c>
      <c r="E11">
        <v>-2</v>
      </c>
      <c r="F11">
        <v>-1</v>
      </c>
      <c r="G11">
        <v>-2</v>
      </c>
      <c r="H11">
        <v>1</v>
      </c>
      <c r="I11">
        <v>8</v>
      </c>
      <c r="J11">
        <v>-1</v>
      </c>
      <c r="K11">
        <v>-3</v>
      </c>
      <c r="L11" s="27">
        <f t="shared" si="0"/>
        <v>2.8</v>
      </c>
      <c r="M11" s="27">
        <f t="shared" si="1"/>
        <v>5.6920997883030831</v>
      </c>
      <c r="N11" s="41">
        <v>0.25847999999999999</v>
      </c>
      <c r="O11" s="27">
        <v>34.5</v>
      </c>
      <c r="P11" s="40" t="str">
        <f t="shared" si="2"/>
        <v xml:space="preserve"> </v>
      </c>
    </row>
    <row r="12" spans="1:16" x14ac:dyDescent="0.3">
      <c r="A12" s="10" t="s">
        <v>91</v>
      </c>
      <c r="B12">
        <v>8</v>
      </c>
      <c r="C12">
        <v>9</v>
      </c>
      <c r="D12">
        <v>10</v>
      </c>
      <c r="E12">
        <v>9</v>
      </c>
      <c r="F12">
        <v>-3</v>
      </c>
      <c r="G12">
        <v>1</v>
      </c>
      <c r="H12">
        <v>7</v>
      </c>
      <c r="I12">
        <v>12</v>
      </c>
      <c r="J12">
        <v>2</v>
      </c>
      <c r="K12">
        <v>5</v>
      </c>
      <c r="L12" s="27">
        <f t="shared" si="0"/>
        <v>6</v>
      </c>
      <c r="M12" s="27">
        <f t="shared" si="1"/>
        <v>4.6904157598234297</v>
      </c>
      <c r="N12" s="41">
        <v>0.93623999999999996</v>
      </c>
      <c r="O12" s="27">
        <v>48.5</v>
      </c>
      <c r="P12" s="40" t="str">
        <f t="shared" si="2"/>
        <v xml:space="preserve"> </v>
      </c>
    </row>
    <row r="13" spans="1:16" x14ac:dyDescent="0.3">
      <c r="A13" s="10" t="s">
        <v>38</v>
      </c>
      <c r="B13">
        <v>21</v>
      </c>
      <c r="C13">
        <v>12</v>
      </c>
      <c r="D13">
        <v>5</v>
      </c>
      <c r="E13">
        <v>28</v>
      </c>
      <c r="F13">
        <v>15</v>
      </c>
      <c r="G13">
        <v>20</v>
      </c>
      <c r="H13">
        <v>15</v>
      </c>
      <c r="I13">
        <v>22</v>
      </c>
      <c r="J13">
        <v>18</v>
      </c>
      <c r="K13">
        <v>24</v>
      </c>
      <c r="L13" s="27">
        <f t="shared" si="0"/>
        <v>18</v>
      </c>
      <c r="M13" s="27">
        <f t="shared" si="1"/>
        <v>6.5659052011974035</v>
      </c>
      <c r="N13" s="41">
        <v>2.5200000000000001E-3</v>
      </c>
      <c r="O13" s="27">
        <v>9.5</v>
      </c>
      <c r="P13" s="40" t="str">
        <f t="shared" si="2"/>
        <v>*</v>
      </c>
    </row>
    <row r="14" spans="1:16" x14ac:dyDescent="0.3">
      <c r="A14" s="10" t="s">
        <v>39</v>
      </c>
      <c r="B14">
        <v>23</v>
      </c>
      <c r="C14">
        <v>22</v>
      </c>
      <c r="D14">
        <v>30</v>
      </c>
      <c r="E14">
        <v>25</v>
      </c>
      <c r="F14">
        <v>31</v>
      </c>
      <c r="G14">
        <v>33</v>
      </c>
      <c r="H14">
        <v>36</v>
      </c>
      <c r="I14">
        <v>40</v>
      </c>
      <c r="J14">
        <v>27</v>
      </c>
      <c r="K14">
        <v>38</v>
      </c>
      <c r="L14" s="27">
        <f t="shared" si="0"/>
        <v>30.5</v>
      </c>
      <c r="M14" s="27">
        <f t="shared" si="1"/>
        <v>6.2760567945875767</v>
      </c>
      <c r="N14" s="41">
        <v>1.8000000000000001E-4</v>
      </c>
      <c r="O14" s="27">
        <v>0</v>
      </c>
      <c r="P14" s="40" t="str">
        <f t="shared" si="2"/>
        <v>*</v>
      </c>
    </row>
    <row r="15" spans="1:16" x14ac:dyDescent="0.3">
      <c r="A15" s="10" t="s">
        <v>40</v>
      </c>
      <c r="B15">
        <v>27</v>
      </c>
      <c r="C15">
        <v>19</v>
      </c>
      <c r="D15">
        <v>18</v>
      </c>
      <c r="E15">
        <v>34</v>
      </c>
      <c r="F15">
        <v>28</v>
      </c>
      <c r="G15">
        <v>48</v>
      </c>
      <c r="H15">
        <v>24</v>
      </c>
      <c r="I15">
        <v>31</v>
      </c>
      <c r="J15">
        <v>23</v>
      </c>
      <c r="K15">
        <v>28</v>
      </c>
      <c r="L15" s="27">
        <f t="shared" si="0"/>
        <v>28</v>
      </c>
      <c r="M15" s="27">
        <f t="shared" si="1"/>
        <v>8.6152319888800566</v>
      </c>
      <c r="N15" s="41">
        <v>1.8000000000000001E-4</v>
      </c>
      <c r="O15" s="27">
        <v>0</v>
      </c>
      <c r="P15" s="40" t="str">
        <f t="shared" si="2"/>
        <v>*</v>
      </c>
    </row>
    <row r="16" spans="1:16" x14ac:dyDescent="0.3">
      <c r="A16" s="10" t="s">
        <v>41</v>
      </c>
      <c r="B16">
        <v>20</v>
      </c>
      <c r="C16">
        <v>9</v>
      </c>
      <c r="D16">
        <v>11</v>
      </c>
      <c r="E16">
        <v>22</v>
      </c>
      <c r="F16">
        <v>19</v>
      </c>
      <c r="G16">
        <v>15</v>
      </c>
      <c r="H16">
        <v>17</v>
      </c>
      <c r="I16">
        <v>15</v>
      </c>
      <c r="J16">
        <v>13</v>
      </c>
      <c r="K16">
        <v>19</v>
      </c>
      <c r="L16" s="27">
        <f t="shared" si="0"/>
        <v>16</v>
      </c>
      <c r="M16" s="27">
        <f t="shared" si="1"/>
        <v>4.1633319989322652</v>
      </c>
      <c r="N16" s="41">
        <v>2.5200000000000001E-3</v>
      </c>
      <c r="O16" s="27">
        <v>9.5</v>
      </c>
      <c r="P16" s="40" t="str">
        <f t="shared" si="2"/>
        <v>*</v>
      </c>
    </row>
    <row r="17" spans="1:16" x14ac:dyDescent="0.3">
      <c r="A17" s="10" t="s">
        <v>42</v>
      </c>
      <c r="B17">
        <v>24</v>
      </c>
      <c r="C17">
        <v>20</v>
      </c>
      <c r="D17">
        <v>14</v>
      </c>
      <c r="E17">
        <v>32</v>
      </c>
      <c r="F17">
        <v>21</v>
      </c>
      <c r="G17">
        <v>30</v>
      </c>
      <c r="H17">
        <v>24</v>
      </c>
      <c r="I17">
        <v>29</v>
      </c>
      <c r="J17">
        <v>18</v>
      </c>
      <c r="K17">
        <v>31</v>
      </c>
      <c r="L17" s="27">
        <f t="shared" si="0"/>
        <v>24.3</v>
      </c>
      <c r="M17" s="27">
        <f t="shared" si="1"/>
        <v>6.0928008520074135</v>
      </c>
      <c r="N17" s="41">
        <v>2.4000000000000001E-4</v>
      </c>
      <c r="O17" s="27">
        <v>1</v>
      </c>
      <c r="P17" s="40" t="str">
        <f t="shared" si="2"/>
        <v>*</v>
      </c>
    </row>
    <row r="18" spans="1:16" x14ac:dyDescent="0.3">
      <c r="A18" s="17" t="s">
        <v>89</v>
      </c>
      <c r="B18">
        <v>16</v>
      </c>
      <c r="C18">
        <v>3</v>
      </c>
      <c r="D18">
        <v>6</v>
      </c>
      <c r="E18">
        <v>14</v>
      </c>
      <c r="F18">
        <v>14</v>
      </c>
      <c r="G18">
        <v>15</v>
      </c>
      <c r="H18">
        <v>14</v>
      </c>
      <c r="I18">
        <v>19</v>
      </c>
      <c r="J18">
        <v>7</v>
      </c>
      <c r="K18">
        <v>19</v>
      </c>
      <c r="L18" s="27">
        <f t="shared" si="0"/>
        <v>12.7</v>
      </c>
      <c r="M18" s="27">
        <f t="shared" si="1"/>
        <v>5.4984846397287797</v>
      </c>
      <c r="N18" s="41">
        <v>2.3199999999999998E-2</v>
      </c>
      <c r="O18" s="27">
        <v>19.5</v>
      </c>
      <c r="P18" s="40" t="str">
        <f t="shared" si="2"/>
        <v xml:space="preserve"> </v>
      </c>
    </row>
    <row r="19" spans="1:16" x14ac:dyDescent="0.3">
      <c r="A19" s="10" t="s">
        <v>43</v>
      </c>
      <c r="B19">
        <v>29</v>
      </c>
      <c r="C19">
        <v>22</v>
      </c>
      <c r="D19">
        <v>20</v>
      </c>
      <c r="E19">
        <v>42</v>
      </c>
      <c r="F19">
        <v>15</v>
      </c>
      <c r="G19">
        <v>29</v>
      </c>
      <c r="H19">
        <v>18</v>
      </c>
      <c r="I19">
        <v>32</v>
      </c>
      <c r="J19">
        <v>33</v>
      </c>
      <c r="K19">
        <v>35</v>
      </c>
      <c r="L19" s="27">
        <f t="shared" si="0"/>
        <v>27.5</v>
      </c>
      <c r="M19" s="27">
        <f t="shared" si="1"/>
        <v>8.5277325369773553</v>
      </c>
      <c r="N19" s="41">
        <v>2.2000000000000001E-4</v>
      </c>
      <c r="O19" s="27">
        <v>0.5</v>
      </c>
      <c r="P19" s="40" t="str">
        <f t="shared" si="2"/>
        <v>*</v>
      </c>
    </row>
    <row r="20" spans="1:16" x14ac:dyDescent="0.3">
      <c r="A20" s="10" t="s">
        <v>44</v>
      </c>
      <c r="B20">
        <v>15</v>
      </c>
      <c r="C20">
        <v>8</v>
      </c>
      <c r="D20">
        <v>7</v>
      </c>
      <c r="E20">
        <v>21</v>
      </c>
      <c r="F20">
        <v>8</v>
      </c>
      <c r="G20">
        <v>12</v>
      </c>
      <c r="H20">
        <v>15</v>
      </c>
      <c r="I20">
        <v>14</v>
      </c>
      <c r="J20">
        <v>9</v>
      </c>
      <c r="K20">
        <v>12</v>
      </c>
      <c r="L20" s="27">
        <f t="shared" si="0"/>
        <v>12.1</v>
      </c>
      <c r="M20" s="27">
        <f t="shared" si="1"/>
        <v>4.3320510923425957</v>
      </c>
      <c r="N20" s="41">
        <v>4.8840000000000001E-2</v>
      </c>
      <c r="O20" s="27">
        <v>23.5</v>
      </c>
      <c r="P20" s="40" t="str">
        <f t="shared" si="2"/>
        <v xml:space="preserve"> </v>
      </c>
    </row>
    <row r="21" spans="1:16" x14ac:dyDescent="0.3">
      <c r="A21" s="10" t="s">
        <v>78</v>
      </c>
      <c r="B21">
        <v>14</v>
      </c>
      <c r="C21">
        <v>0</v>
      </c>
      <c r="D21">
        <v>6</v>
      </c>
      <c r="E21">
        <v>17</v>
      </c>
      <c r="F21">
        <v>10</v>
      </c>
      <c r="G21">
        <v>1</v>
      </c>
      <c r="H21">
        <v>11</v>
      </c>
      <c r="I21">
        <v>18</v>
      </c>
      <c r="J21">
        <v>0</v>
      </c>
      <c r="K21">
        <v>12</v>
      </c>
      <c r="L21" s="27">
        <f t="shared" si="0"/>
        <v>8.9</v>
      </c>
      <c r="M21" s="27">
        <f t="shared" si="1"/>
        <v>6.8223488949513893</v>
      </c>
      <c r="N21" s="41">
        <v>0.32707999999999998</v>
      </c>
      <c r="O21" s="27">
        <v>36.5</v>
      </c>
      <c r="P21" s="40" t="str">
        <f t="shared" si="2"/>
        <v xml:space="preserve"> </v>
      </c>
    </row>
    <row r="22" spans="1:16" x14ac:dyDescent="0.3">
      <c r="A22" s="10" t="s">
        <v>45</v>
      </c>
      <c r="B22">
        <v>22</v>
      </c>
      <c r="C22">
        <v>15</v>
      </c>
      <c r="D22">
        <v>12</v>
      </c>
      <c r="E22">
        <v>19</v>
      </c>
      <c r="F22">
        <v>22</v>
      </c>
      <c r="G22">
        <v>23</v>
      </c>
      <c r="H22">
        <v>20</v>
      </c>
      <c r="I22">
        <v>26</v>
      </c>
      <c r="J22">
        <v>11</v>
      </c>
      <c r="K22">
        <v>22</v>
      </c>
      <c r="L22" s="27">
        <f t="shared" si="0"/>
        <v>19.2</v>
      </c>
      <c r="M22" s="27">
        <f t="shared" si="1"/>
        <v>4.9620784175809041</v>
      </c>
      <c r="N22" s="41">
        <v>1E-3</v>
      </c>
      <c r="O22" s="27">
        <v>6</v>
      </c>
      <c r="P22" s="40" t="str">
        <f t="shared" si="2"/>
        <v>*</v>
      </c>
    </row>
    <row r="23" spans="1:16" x14ac:dyDescent="0.3">
      <c r="A23" s="10" t="s">
        <v>46</v>
      </c>
      <c r="B23">
        <v>-3</v>
      </c>
      <c r="C23">
        <v>4</v>
      </c>
      <c r="D23">
        <v>3</v>
      </c>
      <c r="E23">
        <v>7</v>
      </c>
      <c r="F23">
        <v>2</v>
      </c>
      <c r="G23">
        <v>3</v>
      </c>
      <c r="H23">
        <v>2</v>
      </c>
      <c r="I23">
        <v>2</v>
      </c>
      <c r="J23">
        <v>1</v>
      </c>
      <c r="K23">
        <v>3</v>
      </c>
      <c r="L23" s="27">
        <f t="shared" si="0"/>
        <v>2.4</v>
      </c>
      <c r="M23" s="27">
        <f t="shared" si="1"/>
        <v>2.503331114069145</v>
      </c>
      <c r="N23" s="41">
        <v>0.28914000000000001</v>
      </c>
      <c r="O23" s="27">
        <v>35.5</v>
      </c>
      <c r="P23" s="40" t="str">
        <f t="shared" si="2"/>
        <v xml:space="preserve"> </v>
      </c>
    </row>
    <row r="24" spans="1:16" x14ac:dyDescent="0.3">
      <c r="A24" s="10" t="s">
        <v>47</v>
      </c>
      <c r="B24">
        <v>0</v>
      </c>
      <c r="C24">
        <v>-1</v>
      </c>
      <c r="D24">
        <v>0</v>
      </c>
      <c r="E24">
        <v>0</v>
      </c>
      <c r="F24">
        <v>-2</v>
      </c>
      <c r="G24">
        <v>-2</v>
      </c>
      <c r="H24">
        <v>18</v>
      </c>
      <c r="I24">
        <v>0</v>
      </c>
      <c r="J24">
        <v>-1</v>
      </c>
      <c r="K24">
        <v>1</v>
      </c>
      <c r="L24" s="27">
        <f t="shared" si="0"/>
        <v>1.3</v>
      </c>
      <c r="M24" s="27">
        <f t="shared" si="1"/>
        <v>5.945119380167605</v>
      </c>
      <c r="N24" s="41">
        <v>0.16152</v>
      </c>
      <c r="O24" s="27">
        <v>31</v>
      </c>
      <c r="P24" s="40" t="str">
        <f t="shared" si="2"/>
        <v xml:space="preserve"> </v>
      </c>
    </row>
    <row r="25" spans="1:16" x14ac:dyDescent="0.3">
      <c r="A25" s="10" t="s">
        <v>48</v>
      </c>
      <c r="B25">
        <v>28</v>
      </c>
      <c r="C25">
        <v>18</v>
      </c>
      <c r="D25">
        <v>19</v>
      </c>
      <c r="E25">
        <v>45</v>
      </c>
      <c r="F25">
        <v>18</v>
      </c>
      <c r="G25">
        <v>33</v>
      </c>
      <c r="H25">
        <v>23</v>
      </c>
      <c r="I25">
        <v>24</v>
      </c>
      <c r="J25">
        <v>23</v>
      </c>
      <c r="K25">
        <v>34</v>
      </c>
      <c r="L25" s="27">
        <f t="shared" si="0"/>
        <v>26.5</v>
      </c>
      <c r="M25" s="27">
        <f t="shared" si="1"/>
        <v>8.6570459421470343</v>
      </c>
      <c r="N25" s="41">
        <v>1.8000000000000001E-4</v>
      </c>
      <c r="O25" s="27">
        <v>0</v>
      </c>
      <c r="P25" s="40" t="str">
        <f t="shared" si="2"/>
        <v>*</v>
      </c>
    </row>
    <row r="26" spans="1:16" x14ac:dyDescent="0.3">
      <c r="A26" s="10" t="s">
        <v>49</v>
      </c>
      <c r="B26">
        <v>11</v>
      </c>
      <c r="C26">
        <v>3</v>
      </c>
      <c r="D26">
        <v>4</v>
      </c>
      <c r="E26">
        <v>18</v>
      </c>
      <c r="F26">
        <v>6</v>
      </c>
      <c r="G26">
        <v>2</v>
      </c>
      <c r="H26">
        <v>13</v>
      </c>
      <c r="I26">
        <v>19</v>
      </c>
      <c r="J26">
        <v>3</v>
      </c>
      <c r="K26">
        <v>12</v>
      </c>
      <c r="L26" s="27">
        <f t="shared" si="0"/>
        <v>9.1</v>
      </c>
      <c r="M26" s="27">
        <f t="shared" si="1"/>
        <v>6.3674519585501734</v>
      </c>
      <c r="N26" s="41">
        <v>0.34721999999999997</v>
      </c>
      <c r="O26" s="27">
        <v>37</v>
      </c>
      <c r="P26" s="40" t="str">
        <f t="shared" si="2"/>
        <v xml:space="preserve"> </v>
      </c>
    </row>
    <row r="27" spans="1:16" x14ac:dyDescent="0.3">
      <c r="A27" s="10" t="s">
        <v>50</v>
      </c>
      <c r="B27">
        <v>13</v>
      </c>
      <c r="C27">
        <v>-2</v>
      </c>
      <c r="D27">
        <v>7</v>
      </c>
      <c r="E27">
        <v>15</v>
      </c>
      <c r="F27">
        <v>6</v>
      </c>
      <c r="G27">
        <v>-1</v>
      </c>
      <c r="H27">
        <v>17</v>
      </c>
      <c r="I27">
        <v>16</v>
      </c>
      <c r="J27">
        <v>0</v>
      </c>
      <c r="K27">
        <v>14</v>
      </c>
      <c r="L27" s="27">
        <f t="shared" si="0"/>
        <v>8.5</v>
      </c>
      <c r="M27" s="27">
        <f t="shared" si="1"/>
        <v>7.4721705904866313</v>
      </c>
      <c r="N27" s="41">
        <v>0.34721999999999997</v>
      </c>
      <c r="O27" s="27">
        <v>37</v>
      </c>
      <c r="P27" s="40" t="str">
        <f t="shared" si="2"/>
        <v xml:space="preserve"> </v>
      </c>
    </row>
    <row r="28" spans="1:16" x14ac:dyDescent="0.3">
      <c r="A28" s="10" t="s">
        <v>51</v>
      </c>
      <c r="B28">
        <v>23</v>
      </c>
      <c r="C28">
        <v>16</v>
      </c>
      <c r="D28">
        <v>14</v>
      </c>
      <c r="E28">
        <v>35</v>
      </c>
      <c r="F28">
        <v>14</v>
      </c>
      <c r="G28">
        <v>29</v>
      </c>
      <c r="H28">
        <v>22</v>
      </c>
      <c r="I28">
        <v>24</v>
      </c>
      <c r="J28">
        <v>20</v>
      </c>
      <c r="K28">
        <v>24</v>
      </c>
      <c r="L28" s="27">
        <f t="shared" si="0"/>
        <v>22.1</v>
      </c>
      <c r="M28" s="27">
        <f t="shared" si="1"/>
        <v>6.6240303273594492</v>
      </c>
      <c r="N28" s="41">
        <v>3.4000000000000002E-4</v>
      </c>
      <c r="O28" s="27">
        <v>2</v>
      </c>
      <c r="P28" s="40" t="str">
        <f t="shared" si="2"/>
        <v>*</v>
      </c>
    </row>
    <row r="29" spans="1:16" x14ac:dyDescent="0.3">
      <c r="A29" s="10" t="s">
        <v>52</v>
      </c>
      <c r="B29">
        <v>14</v>
      </c>
      <c r="C29">
        <v>1</v>
      </c>
      <c r="D29">
        <v>9</v>
      </c>
      <c r="E29">
        <v>11</v>
      </c>
      <c r="F29">
        <v>5</v>
      </c>
      <c r="G29">
        <v>-1</v>
      </c>
      <c r="H29">
        <v>15</v>
      </c>
      <c r="I29">
        <v>18</v>
      </c>
      <c r="J29">
        <v>6</v>
      </c>
      <c r="K29">
        <v>14</v>
      </c>
      <c r="L29" s="27">
        <f t="shared" si="0"/>
        <v>9.1999999999999993</v>
      </c>
      <c r="M29" s="27">
        <f t="shared" si="1"/>
        <v>6.321040701937898</v>
      </c>
      <c r="N29" s="41">
        <v>0.30771999999999999</v>
      </c>
      <c r="O29" s="27">
        <v>36</v>
      </c>
      <c r="P29" s="40" t="str">
        <f t="shared" si="2"/>
        <v xml:space="preserve"> </v>
      </c>
    </row>
    <row r="30" spans="1:16" x14ac:dyDescent="0.3">
      <c r="A30" s="10" t="s">
        <v>53</v>
      </c>
      <c r="B30">
        <v>14</v>
      </c>
      <c r="C30">
        <v>3</v>
      </c>
      <c r="D30">
        <v>4</v>
      </c>
      <c r="E30">
        <v>16</v>
      </c>
      <c r="F30">
        <v>9</v>
      </c>
      <c r="G30">
        <v>-1</v>
      </c>
      <c r="H30">
        <v>15</v>
      </c>
      <c r="I30">
        <v>11</v>
      </c>
      <c r="J30">
        <v>0</v>
      </c>
      <c r="K30">
        <v>18</v>
      </c>
      <c r="L30" s="27">
        <f t="shared" si="0"/>
        <v>8.9</v>
      </c>
      <c r="M30" s="27">
        <f t="shared" si="1"/>
        <v>6.9673843330509939</v>
      </c>
      <c r="N30" s="41">
        <v>0.28914000000000001</v>
      </c>
      <c r="O30" s="27">
        <v>35.5</v>
      </c>
      <c r="P30" s="40" t="str">
        <f t="shared" si="2"/>
        <v xml:space="preserve"> </v>
      </c>
    </row>
    <row r="31" spans="1:16" x14ac:dyDescent="0.3">
      <c r="A31" s="10" t="s">
        <v>54</v>
      </c>
      <c r="B31">
        <v>15</v>
      </c>
      <c r="C31">
        <v>3</v>
      </c>
      <c r="D31">
        <v>7</v>
      </c>
      <c r="E31">
        <v>15</v>
      </c>
      <c r="F31">
        <v>4</v>
      </c>
      <c r="G31">
        <v>2</v>
      </c>
      <c r="H31">
        <v>16</v>
      </c>
      <c r="I31">
        <v>19</v>
      </c>
      <c r="J31">
        <v>3</v>
      </c>
      <c r="K31">
        <v>19</v>
      </c>
      <c r="L31" s="27">
        <f t="shared" si="0"/>
        <v>10.3</v>
      </c>
      <c r="M31" s="27">
        <f t="shared" si="1"/>
        <v>7.1032074132433687</v>
      </c>
      <c r="N31" s="41">
        <v>0.14155999999999999</v>
      </c>
      <c r="O31" s="27">
        <v>30</v>
      </c>
      <c r="P31" s="40" t="str">
        <f t="shared" si="2"/>
        <v xml:space="preserve"> </v>
      </c>
    </row>
    <row r="32" spans="1:16" x14ac:dyDescent="0.3">
      <c r="A32" s="10" t="s">
        <v>55</v>
      </c>
      <c r="B32">
        <v>11</v>
      </c>
      <c r="C32">
        <v>5</v>
      </c>
      <c r="D32">
        <v>3</v>
      </c>
      <c r="E32">
        <v>20</v>
      </c>
      <c r="F32">
        <v>10</v>
      </c>
      <c r="G32">
        <v>0</v>
      </c>
      <c r="H32">
        <v>12</v>
      </c>
      <c r="I32">
        <v>20</v>
      </c>
      <c r="J32">
        <v>7</v>
      </c>
      <c r="K32">
        <v>17</v>
      </c>
      <c r="L32" s="27">
        <f t="shared" si="0"/>
        <v>10.5</v>
      </c>
      <c r="M32" s="27">
        <f t="shared" si="1"/>
        <v>6.948221195225277</v>
      </c>
      <c r="N32" s="41">
        <v>0.19706000000000001</v>
      </c>
      <c r="O32" s="27">
        <v>32.5</v>
      </c>
      <c r="P32" s="40" t="str">
        <f t="shared" si="2"/>
        <v xml:space="preserve"> </v>
      </c>
    </row>
    <row r="33" spans="1:16" x14ac:dyDescent="0.3">
      <c r="A33" s="10" t="s">
        <v>56</v>
      </c>
      <c r="B33">
        <v>11</v>
      </c>
      <c r="C33">
        <v>-1</v>
      </c>
      <c r="D33">
        <v>3</v>
      </c>
      <c r="E33">
        <v>16</v>
      </c>
      <c r="F33">
        <v>2</v>
      </c>
      <c r="G33">
        <v>5</v>
      </c>
      <c r="H33">
        <v>14</v>
      </c>
      <c r="I33">
        <v>21</v>
      </c>
      <c r="J33">
        <v>6</v>
      </c>
      <c r="K33">
        <v>17</v>
      </c>
      <c r="L33" s="27">
        <f t="shared" si="0"/>
        <v>9.4</v>
      </c>
      <c r="M33" s="27">
        <f t="shared" si="1"/>
        <v>7.4117024584998914</v>
      </c>
      <c r="N33" s="41">
        <v>0.30771999999999999</v>
      </c>
      <c r="O33" s="27">
        <v>36</v>
      </c>
      <c r="P33" s="40" t="str">
        <f t="shared" si="2"/>
        <v xml:space="preserve"> </v>
      </c>
    </row>
    <row r="34" spans="1:16" x14ac:dyDescent="0.3">
      <c r="A34" s="10" t="s">
        <v>57</v>
      </c>
      <c r="B34">
        <v>16</v>
      </c>
      <c r="C34">
        <v>10</v>
      </c>
      <c r="D34">
        <v>11</v>
      </c>
      <c r="E34">
        <v>25</v>
      </c>
      <c r="F34">
        <v>17</v>
      </c>
      <c r="G34">
        <v>20</v>
      </c>
      <c r="H34">
        <v>21</v>
      </c>
      <c r="I34">
        <v>22</v>
      </c>
      <c r="J34">
        <v>12</v>
      </c>
      <c r="K34">
        <v>25</v>
      </c>
      <c r="L34" s="27">
        <f t="shared" si="0"/>
        <v>17.899999999999999</v>
      </c>
      <c r="M34" s="27">
        <f t="shared" si="1"/>
        <v>5.5866905329641376</v>
      </c>
      <c r="N34" s="41">
        <v>2.2200000000000002E-3</v>
      </c>
      <c r="O34" s="27">
        <v>9</v>
      </c>
      <c r="P34" s="40" t="str">
        <f t="shared" si="2"/>
        <v>*</v>
      </c>
    </row>
    <row r="35" spans="1:16" x14ac:dyDescent="0.3">
      <c r="A35" s="10" t="s">
        <v>58</v>
      </c>
      <c r="B35">
        <v>13</v>
      </c>
      <c r="C35">
        <v>3</v>
      </c>
      <c r="D35">
        <v>1</v>
      </c>
      <c r="E35">
        <v>20</v>
      </c>
      <c r="F35">
        <v>5</v>
      </c>
      <c r="G35">
        <v>-2</v>
      </c>
      <c r="H35">
        <v>12</v>
      </c>
      <c r="I35">
        <v>20</v>
      </c>
      <c r="J35">
        <v>6</v>
      </c>
      <c r="K35">
        <v>18</v>
      </c>
      <c r="L35" s="27">
        <f t="shared" si="0"/>
        <v>9.6</v>
      </c>
      <c r="M35" s="27">
        <f t="shared" si="1"/>
        <v>8.0993826925266337</v>
      </c>
      <c r="N35" s="41">
        <v>0.36281999999999998</v>
      </c>
      <c r="O35" s="27">
        <v>37.5</v>
      </c>
      <c r="P35" s="40" t="str">
        <f t="shared" si="2"/>
        <v xml:space="preserve"> </v>
      </c>
    </row>
    <row r="36" spans="1:16" x14ac:dyDescent="0.3">
      <c r="A36" s="10" t="s">
        <v>59</v>
      </c>
      <c r="B36">
        <v>5</v>
      </c>
      <c r="C36">
        <v>-2</v>
      </c>
      <c r="D36">
        <v>0</v>
      </c>
      <c r="E36">
        <v>9</v>
      </c>
      <c r="F36">
        <v>-1</v>
      </c>
      <c r="G36">
        <v>-4</v>
      </c>
      <c r="H36">
        <v>1</v>
      </c>
      <c r="I36">
        <v>4</v>
      </c>
      <c r="J36">
        <v>0</v>
      </c>
      <c r="K36">
        <v>4</v>
      </c>
      <c r="L36" s="27">
        <f t="shared" si="0"/>
        <v>1.6</v>
      </c>
      <c r="M36" s="27">
        <f t="shared" si="1"/>
        <v>3.8643671323171835</v>
      </c>
      <c r="N36" s="41">
        <v>0.14155999999999999</v>
      </c>
      <c r="O36" s="27">
        <v>30</v>
      </c>
      <c r="P36" s="40" t="str">
        <f t="shared" si="2"/>
        <v xml:space="preserve"> </v>
      </c>
    </row>
    <row r="37" spans="1:16" x14ac:dyDescent="0.3">
      <c r="A37" s="10" t="s">
        <v>60</v>
      </c>
      <c r="B37">
        <v>8</v>
      </c>
      <c r="C37">
        <v>2</v>
      </c>
      <c r="D37">
        <v>5</v>
      </c>
      <c r="E37">
        <v>23</v>
      </c>
      <c r="F37">
        <v>14</v>
      </c>
      <c r="G37">
        <v>12</v>
      </c>
      <c r="H37">
        <v>13</v>
      </c>
      <c r="I37">
        <v>6</v>
      </c>
      <c r="J37">
        <v>9</v>
      </c>
      <c r="K37">
        <v>24</v>
      </c>
      <c r="L37" s="27">
        <f t="shared" si="0"/>
        <v>11.6</v>
      </c>
      <c r="M37" s="27">
        <f t="shared" si="1"/>
        <v>7.2907856610625696</v>
      </c>
      <c r="N37" s="41">
        <v>0.16152</v>
      </c>
      <c r="O37" s="27">
        <v>31</v>
      </c>
      <c r="P37" s="40" t="str">
        <f t="shared" si="2"/>
        <v xml:space="preserve"> </v>
      </c>
    </row>
    <row r="38" spans="1:16" x14ac:dyDescent="0.3">
      <c r="A38" s="10" t="s">
        <v>61</v>
      </c>
      <c r="B38">
        <v>14</v>
      </c>
      <c r="C38">
        <v>49</v>
      </c>
      <c r="D38">
        <v>2</v>
      </c>
      <c r="E38">
        <v>23</v>
      </c>
      <c r="F38">
        <v>12</v>
      </c>
      <c r="G38">
        <v>14</v>
      </c>
      <c r="H38">
        <v>18</v>
      </c>
      <c r="I38">
        <v>19</v>
      </c>
      <c r="J38">
        <v>9</v>
      </c>
      <c r="K38">
        <v>23</v>
      </c>
      <c r="L38" s="27">
        <f t="shared" si="0"/>
        <v>18.3</v>
      </c>
      <c r="M38" s="27">
        <f t="shared" si="1"/>
        <v>12.543701385334572</v>
      </c>
      <c r="N38" s="41">
        <v>9.0600000000000003E-3</v>
      </c>
      <c r="O38" s="27">
        <v>15</v>
      </c>
      <c r="P38" s="40" t="str">
        <f t="shared" si="2"/>
        <v>*</v>
      </c>
    </row>
    <row r="39" spans="1:16" x14ac:dyDescent="0.3">
      <c r="A39" s="10" t="s">
        <v>12</v>
      </c>
      <c r="B39">
        <v>50</v>
      </c>
      <c r="C39">
        <v>133</v>
      </c>
      <c r="D39">
        <v>124</v>
      </c>
      <c r="E39">
        <v>82</v>
      </c>
      <c r="F39">
        <v>42</v>
      </c>
      <c r="G39">
        <v>46</v>
      </c>
      <c r="H39">
        <v>50</v>
      </c>
      <c r="I39">
        <v>41</v>
      </c>
      <c r="J39">
        <v>58</v>
      </c>
      <c r="K39">
        <v>48</v>
      </c>
      <c r="L39" s="27">
        <f t="shared" si="0"/>
        <v>67.400000000000006</v>
      </c>
      <c r="M39" s="27">
        <f t="shared" si="1"/>
        <v>34.303223042610895</v>
      </c>
      <c r="N39" s="41">
        <v>1.8000000000000001E-4</v>
      </c>
      <c r="O39" s="27">
        <v>0</v>
      </c>
      <c r="P39" s="40" t="str">
        <f t="shared" si="2"/>
        <v>*</v>
      </c>
    </row>
    <row r="40" spans="1:16" x14ac:dyDescent="0.3">
      <c r="A40" s="10" t="s">
        <v>62</v>
      </c>
      <c r="B40">
        <v>13</v>
      </c>
      <c r="C40">
        <v>-1</v>
      </c>
      <c r="D40">
        <v>16</v>
      </c>
      <c r="E40">
        <v>8</v>
      </c>
      <c r="F40">
        <v>8</v>
      </c>
      <c r="G40">
        <v>2</v>
      </c>
      <c r="H40">
        <v>17</v>
      </c>
      <c r="I40">
        <v>15</v>
      </c>
      <c r="J40">
        <v>4</v>
      </c>
      <c r="K40">
        <v>11</v>
      </c>
      <c r="L40" s="27">
        <f t="shared" si="0"/>
        <v>9.3000000000000007</v>
      </c>
      <c r="M40" s="27">
        <f t="shared" si="1"/>
        <v>6.1833108714776204</v>
      </c>
      <c r="N40" s="41">
        <v>0.22628000000000001</v>
      </c>
      <c r="O40" s="27">
        <v>33.5</v>
      </c>
      <c r="P40" s="40" t="str">
        <f t="shared" si="2"/>
        <v xml:space="preserve"> </v>
      </c>
    </row>
    <row r="41" spans="1:16" x14ac:dyDescent="0.3">
      <c r="A41" s="10" t="s">
        <v>63</v>
      </c>
      <c r="B41">
        <v>9</v>
      </c>
      <c r="C41">
        <v>4</v>
      </c>
      <c r="D41">
        <v>2</v>
      </c>
      <c r="E41">
        <v>17</v>
      </c>
      <c r="F41">
        <v>9</v>
      </c>
      <c r="G41">
        <v>1</v>
      </c>
      <c r="H41">
        <v>16</v>
      </c>
      <c r="I41">
        <v>12</v>
      </c>
      <c r="J41">
        <v>3</v>
      </c>
      <c r="K41">
        <v>19</v>
      </c>
      <c r="L41" s="27">
        <f t="shared" si="0"/>
        <v>9.1999999999999993</v>
      </c>
      <c r="M41" s="27">
        <f t="shared" si="1"/>
        <v>6.6298986082409703</v>
      </c>
      <c r="N41" s="41">
        <v>0.30771999999999999</v>
      </c>
      <c r="O41" s="27">
        <v>36</v>
      </c>
      <c r="P41" s="40" t="str">
        <f t="shared" si="2"/>
        <v xml:space="preserve"> </v>
      </c>
    </row>
    <row r="42" spans="1:16" x14ac:dyDescent="0.3">
      <c r="A42" s="10" t="s">
        <v>64</v>
      </c>
      <c r="B42">
        <v>10</v>
      </c>
      <c r="C42">
        <v>4</v>
      </c>
      <c r="D42">
        <v>1</v>
      </c>
      <c r="E42">
        <v>20</v>
      </c>
      <c r="F42">
        <v>11</v>
      </c>
      <c r="G42">
        <v>8</v>
      </c>
      <c r="H42">
        <v>16</v>
      </c>
      <c r="I42">
        <v>19</v>
      </c>
      <c r="J42">
        <v>8</v>
      </c>
      <c r="K42">
        <v>12</v>
      </c>
      <c r="L42" s="27">
        <f t="shared" si="0"/>
        <v>10.9</v>
      </c>
      <c r="M42" s="27">
        <f t="shared" si="1"/>
        <v>6.1364122706639881</v>
      </c>
      <c r="N42" s="41">
        <v>0.14155999999999999</v>
      </c>
      <c r="O42" s="27">
        <v>30</v>
      </c>
      <c r="P42" s="40" t="str">
        <f t="shared" si="2"/>
        <v xml:space="preserve"> </v>
      </c>
    </row>
    <row r="43" spans="1:16" x14ac:dyDescent="0.3">
      <c r="A43" s="10" t="s">
        <v>17</v>
      </c>
      <c r="B43">
        <v>17</v>
      </c>
      <c r="C43">
        <v>10</v>
      </c>
      <c r="D43">
        <v>10</v>
      </c>
      <c r="E43">
        <v>25</v>
      </c>
      <c r="F43">
        <v>9</v>
      </c>
      <c r="G43">
        <v>16</v>
      </c>
      <c r="H43">
        <v>18</v>
      </c>
      <c r="I43">
        <v>19</v>
      </c>
      <c r="J43">
        <v>12</v>
      </c>
      <c r="K43">
        <v>22</v>
      </c>
      <c r="L43" s="27">
        <f t="shared" si="0"/>
        <v>15.8</v>
      </c>
      <c r="M43" s="27">
        <f t="shared" si="1"/>
        <v>5.4528280124476076</v>
      </c>
      <c r="N43" s="41">
        <v>6.5199999999999998E-3</v>
      </c>
      <c r="O43" s="27">
        <v>13.5</v>
      </c>
      <c r="P43" s="40" t="str">
        <f t="shared" si="2"/>
        <v>*</v>
      </c>
    </row>
    <row r="44" spans="1:16" x14ac:dyDescent="0.3">
      <c r="A44" s="10" t="s">
        <v>65</v>
      </c>
      <c r="B44">
        <v>20</v>
      </c>
      <c r="C44">
        <v>13</v>
      </c>
      <c r="D44">
        <v>11</v>
      </c>
      <c r="E44">
        <v>14</v>
      </c>
      <c r="F44">
        <v>2</v>
      </c>
      <c r="G44">
        <v>4</v>
      </c>
      <c r="H44">
        <v>5</v>
      </c>
      <c r="I44">
        <v>15</v>
      </c>
      <c r="J44">
        <v>6</v>
      </c>
      <c r="K44">
        <v>19</v>
      </c>
      <c r="L44" s="27">
        <f t="shared" si="0"/>
        <v>10.9</v>
      </c>
      <c r="M44" s="27">
        <f t="shared" si="1"/>
        <v>6.3674519585501743</v>
      </c>
      <c r="N44" s="41">
        <v>0.14155999999999999</v>
      </c>
      <c r="O44" s="27">
        <v>30</v>
      </c>
      <c r="P44" s="40" t="str">
        <f t="shared" si="2"/>
        <v xml:space="preserve"> </v>
      </c>
    </row>
    <row r="45" spans="1:16" x14ac:dyDescent="0.3">
      <c r="A45" s="10" t="s">
        <v>66</v>
      </c>
      <c r="B45">
        <v>12</v>
      </c>
      <c r="C45">
        <v>2</v>
      </c>
      <c r="D45">
        <v>3</v>
      </c>
      <c r="E45">
        <v>14</v>
      </c>
      <c r="F45">
        <v>7</v>
      </c>
      <c r="G45">
        <v>6</v>
      </c>
      <c r="H45">
        <v>13</v>
      </c>
      <c r="I45">
        <v>17</v>
      </c>
      <c r="J45">
        <v>4</v>
      </c>
      <c r="K45">
        <v>19</v>
      </c>
      <c r="L45" s="27">
        <f t="shared" si="0"/>
        <v>9.6999999999999993</v>
      </c>
      <c r="M45" s="27">
        <f t="shared" si="1"/>
        <v>6.0745370193949766</v>
      </c>
      <c r="N45" s="41">
        <v>0.22628000000000001</v>
      </c>
      <c r="O45" s="27">
        <v>33.5</v>
      </c>
      <c r="P45" s="40" t="str">
        <f t="shared" si="2"/>
        <v xml:space="preserve"> </v>
      </c>
    </row>
    <row r="46" spans="1:16" x14ac:dyDescent="0.3">
      <c r="A46" s="10" t="s">
        <v>67</v>
      </c>
      <c r="B46">
        <v>15</v>
      </c>
      <c r="C46">
        <v>5</v>
      </c>
      <c r="D46">
        <v>6</v>
      </c>
      <c r="E46">
        <v>21</v>
      </c>
      <c r="F46">
        <v>5</v>
      </c>
      <c r="G46">
        <v>11</v>
      </c>
      <c r="H46">
        <v>13</v>
      </c>
      <c r="I46">
        <v>7</v>
      </c>
      <c r="J46">
        <v>7</v>
      </c>
      <c r="K46">
        <v>18</v>
      </c>
      <c r="L46" s="27">
        <f t="shared" si="0"/>
        <v>10.8</v>
      </c>
      <c r="M46" s="27">
        <f t="shared" si="1"/>
        <v>5.7503623074260855</v>
      </c>
      <c r="N46" s="41">
        <v>0.17383999999999999</v>
      </c>
      <c r="O46" s="27">
        <v>31.5</v>
      </c>
      <c r="P46" s="40" t="str">
        <f t="shared" si="2"/>
        <v xml:space="preserve"> </v>
      </c>
    </row>
    <row r="47" spans="1:16" x14ac:dyDescent="0.3">
      <c r="A47" s="10" t="s">
        <v>68</v>
      </c>
      <c r="B47">
        <v>11</v>
      </c>
      <c r="C47">
        <v>-1</v>
      </c>
      <c r="D47">
        <v>3</v>
      </c>
      <c r="E47">
        <v>8</v>
      </c>
      <c r="F47">
        <v>-2</v>
      </c>
      <c r="G47">
        <v>0</v>
      </c>
      <c r="H47">
        <v>1</v>
      </c>
      <c r="I47">
        <v>5</v>
      </c>
      <c r="J47">
        <v>1</v>
      </c>
      <c r="K47">
        <v>10</v>
      </c>
      <c r="L47" s="27">
        <f t="shared" si="0"/>
        <v>3.6</v>
      </c>
      <c r="M47" s="27">
        <f t="shared" si="1"/>
        <v>4.6714261443612939</v>
      </c>
      <c r="N47" s="41">
        <v>0.44725999999999999</v>
      </c>
      <c r="O47" s="27">
        <v>39.5</v>
      </c>
      <c r="P47" s="40" t="str">
        <f t="shared" si="2"/>
        <v xml:space="preserve"> </v>
      </c>
    </row>
    <row r="48" spans="1:16" x14ac:dyDescent="0.3">
      <c r="A48" s="10" t="s">
        <v>69</v>
      </c>
      <c r="B48">
        <v>17</v>
      </c>
      <c r="C48">
        <v>15</v>
      </c>
      <c r="D48">
        <v>13</v>
      </c>
      <c r="E48">
        <v>24</v>
      </c>
      <c r="F48">
        <v>18</v>
      </c>
      <c r="G48">
        <v>21</v>
      </c>
      <c r="H48">
        <v>20</v>
      </c>
      <c r="I48">
        <v>21</v>
      </c>
      <c r="J48">
        <v>17</v>
      </c>
      <c r="K48">
        <v>18</v>
      </c>
      <c r="L48" s="27">
        <f t="shared" si="0"/>
        <v>18.399999999999999</v>
      </c>
      <c r="M48" s="27">
        <f t="shared" si="1"/>
        <v>3.2041639575194458</v>
      </c>
      <c r="N48" s="41">
        <v>3.4000000000000002E-4</v>
      </c>
      <c r="O48" s="27">
        <v>2</v>
      </c>
      <c r="P48" s="40" t="str">
        <f t="shared" si="2"/>
        <v>*</v>
      </c>
    </row>
    <row r="49" spans="1:20" x14ac:dyDescent="0.3">
      <c r="A49" s="10" t="s">
        <v>0</v>
      </c>
      <c r="B49">
        <v>49</v>
      </c>
      <c r="C49">
        <v>40</v>
      </c>
      <c r="D49">
        <v>26</v>
      </c>
      <c r="E49">
        <v>57</v>
      </c>
      <c r="F49">
        <v>40</v>
      </c>
      <c r="G49">
        <v>54</v>
      </c>
      <c r="H49">
        <v>42</v>
      </c>
      <c r="I49">
        <v>43</v>
      </c>
      <c r="J49">
        <v>29</v>
      </c>
      <c r="K49">
        <v>48</v>
      </c>
      <c r="L49" s="27">
        <f t="shared" si="0"/>
        <v>42.8</v>
      </c>
      <c r="M49" s="27">
        <f t="shared" si="1"/>
        <v>9.8972498986109976</v>
      </c>
      <c r="N49" s="41">
        <v>1.8000000000000001E-4</v>
      </c>
      <c r="O49" s="27">
        <v>0</v>
      </c>
      <c r="P49" s="40" t="str">
        <f t="shared" si="2"/>
        <v>*</v>
      </c>
    </row>
    <row r="50" spans="1:20" x14ac:dyDescent="0.3">
      <c r="A50" s="10" t="s">
        <v>79</v>
      </c>
      <c r="B50" t="s">
        <v>27</v>
      </c>
      <c r="C50">
        <v>21</v>
      </c>
      <c r="D50">
        <v>19</v>
      </c>
      <c r="E50">
        <v>30</v>
      </c>
      <c r="F50">
        <v>24</v>
      </c>
      <c r="G50">
        <v>2</v>
      </c>
      <c r="H50">
        <v>12</v>
      </c>
      <c r="I50">
        <v>18</v>
      </c>
      <c r="J50">
        <v>6</v>
      </c>
      <c r="K50">
        <v>13</v>
      </c>
      <c r="L50" s="27">
        <f>AVERAGE(C50:K50)</f>
        <v>16.111111111111111</v>
      </c>
      <c r="M50" s="27">
        <f>STDEV(C50:K50)</f>
        <v>8.795516534639173</v>
      </c>
      <c r="N50" s="41">
        <v>1.9800000000000002E-2</v>
      </c>
      <c r="O50" s="27">
        <v>16</v>
      </c>
      <c r="P50" s="40" t="str">
        <f t="shared" si="2"/>
        <v xml:space="preserve"> </v>
      </c>
    </row>
    <row r="54" spans="1:20" x14ac:dyDescent="0.3">
      <c r="P54"/>
      <c r="T54" t="s">
        <v>27</v>
      </c>
    </row>
    <row r="55" spans="1:20" x14ac:dyDescent="0.3">
      <c r="P55"/>
    </row>
    <row r="56" spans="1:20" x14ac:dyDescent="0.3">
      <c r="P56"/>
    </row>
    <row r="57" spans="1:20" x14ac:dyDescent="0.3">
      <c r="P57"/>
    </row>
    <row r="58" spans="1:20" x14ac:dyDescent="0.3">
      <c r="P58"/>
    </row>
    <row r="59" spans="1:20" x14ac:dyDescent="0.3">
      <c r="P59"/>
    </row>
    <row r="60" spans="1:20" x14ac:dyDescent="0.3">
      <c r="P60"/>
    </row>
    <row r="61" spans="1:20" x14ac:dyDescent="0.3">
      <c r="P61"/>
    </row>
    <row r="62" spans="1:20" x14ac:dyDescent="0.3">
      <c r="P62"/>
    </row>
    <row r="63" spans="1:20" x14ac:dyDescent="0.3">
      <c r="P63"/>
    </row>
  </sheetData>
  <mergeCells count="1">
    <mergeCell ref="N1:P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8"/>
  <sheetViews>
    <sheetView zoomScale="70" zoomScaleNormal="70" workbookViewId="0">
      <selection activeCell="AD3" sqref="AD3"/>
    </sheetView>
  </sheetViews>
  <sheetFormatPr defaultRowHeight="14.4" x14ac:dyDescent="0.3"/>
  <cols>
    <col min="1" max="1" width="11" style="10" customWidth="1"/>
    <col min="24" max="24" width="15" customWidth="1"/>
    <col min="28" max="28" width="12.109375" customWidth="1"/>
    <col min="37" max="37" width="12.6640625" customWidth="1"/>
    <col min="47" max="47" width="9.88671875" customWidth="1"/>
    <col min="49" max="49" width="9.6640625" customWidth="1"/>
    <col min="50" max="50" width="12.44140625" customWidth="1"/>
  </cols>
  <sheetData>
    <row r="1" spans="1:50" x14ac:dyDescent="0.3">
      <c r="A1" s="47" t="s">
        <v>28</v>
      </c>
      <c r="B1" s="47"/>
      <c r="F1" s="47"/>
      <c r="G1" s="47"/>
      <c r="H1" s="47" t="s">
        <v>21</v>
      </c>
      <c r="I1" s="47"/>
      <c r="K1" s="47"/>
      <c r="L1" s="47"/>
      <c r="O1" s="47" t="s">
        <v>22</v>
      </c>
      <c r="P1" s="47"/>
      <c r="X1" s="48" t="s">
        <v>29</v>
      </c>
      <c r="Y1" s="48"/>
      <c r="Z1" s="48"/>
    </row>
    <row r="2" spans="1:50" x14ac:dyDescent="0.3">
      <c r="A2" s="10" t="s">
        <v>12</v>
      </c>
      <c r="B2" t="s">
        <v>1</v>
      </c>
      <c r="C2" t="s">
        <v>2</v>
      </c>
      <c r="D2" t="s">
        <v>3</v>
      </c>
      <c r="E2" t="s">
        <v>24</v>
      </c>
      <c r="F2" t="s">
        <v>25</v>
      </c>
      <c r="H2" s="10" t="s">
        <v>12</v>
      </c>
      <c r="I2" t="s">
        <v>1</v>
      </c>
      <c r="J2" t="s">
        <v>2</v>
      </c>
      <c r="K2" t="s">
        <v>3</v>
      </c>
      <c r="L2" t="s">
        <v>24</v>
      </c>
      <c r="M2" t="s">
        <v>25</v>
      </c>
      <c r="O2" s="10" t="s">
        <v>12</v>
      </c>
      <c r="P2" t="s">
        <v>1</v>
      </c>
      <c r="Q2" t="s">
        <v>2</v>
      </c>
      <c r="R2" t="s">
        <v>3</v>
      </c>
      <c r="S2" t="s">
        <v>24</v>
      </c>
      <c r="T2" t="s">
        <v>25</v>
      </c>
      <c r="U2" s="1" t="s">
        <v>18</v>
      </c>
      <c r="V2" s="1" t="s">
        <v>92</v>
      </c>
    </row>
    <row r="3" spans="1:50" x14ac:dyDescent="0.3">
      <c r="A3" s="10">
        <v>1</v>
      </c>
      <c r="B3">
        <f>10-1</f>
        <v>9</v>
      </c>
      <c r="C3">
        <f>9-0</f>
        <v>9</v>
      </c>
      <c r="D3">
        <f>12-4</f>
        <v>8</v>
      </c>
      <c r="E3">
        <f>8-1</f>
        <v>7</v>
      </c>
      <c r="F3">
        <f>23-1</f>
        <v>22</v>
      </c>
      <c r="H3" s="10">
        <v>1</v>
      </c>
      <c r="I3">
        <f>B3*2</f>
        <v>18</v>
      </c>
      <c r="J3">
        <f t="shared" ref="J3:M4" si="0">C3*2</f>
        <v>18</v>
      </c>
      <c r="K3">
        <f t="shared" si="0"/>
        <v>16</v>
      </c>
      <c r="L3">
        <f t="shared" si="0"/>
        <v>14</v>
      </c>
      <c r="M3">
        <f t="shared" si="0"/>
        <v>44</v>
      </c>
      <c r="O3" s="10">
        <v>1</v>
      </c>
      <c r="P3">
        <f t="shared" ref="P3:P9" si="1">I3/$I$7</f>
        <v>0.16363636363636364</v>
      </c>
      <c r="Q3">
        <f t="shared" ref="Q3:Q9" si="2">J3/$J$7</f>
        <v>0.12</v>
      </c>
      <c r="R3">
        <f t="shared" ref="R3:R9" si="3">K3/$K$7</f>
        <v>0.11594202898550725</v>
      </c>
      <c r="S3">
        <f t="shared" ref="S3:S9" si="4">L3/$L$7</f>
        <v>9.45945945945946E-2</v>
      </c>
      <c r="T3">
        <f t="shared" ref="T3:T9" si="5">M3/$M$7</f>
        <v>0.51162790697674421</v>
      </c>
      <c r="U3">
        <f t="shared" ref="U3:U9" si="6">AVERAGE(P3:T3)</f>
        <v>0.20116017883864196</v>
      </c>
      <c r="V3">
        <f t="shared" ref="V3:V9" si="7">STDEV(P3:T3)/SQRT(5)</f>
        <v>7.8423076438429815E-2</v>
      </c>
      <c r="X3" t="s">
        <v>4</v>
      </c>
      <c r="Y3" t="s">
        <v>5</v>
      </c>
      <c r="Z3" t="s">
        <v>6</v>
      </c>
      <c r="AA3" t="s">
        <v>7</v>
      </c>
      <c r="AB3" t="s">
        <v>8</v>
      </c>
    </row>
    <row r="4" spans="1:50" x14ac:dyDescent="0.3">
      <c r="A4" s="10">
        <v>5</v>
      </c>
      <c r="B4">
        <f>27-0</f>
        <v>27</v>
      </c>
      <c r="C4">
        <f>26-4</f>
        <v>22</v>
      </c>
      <c r="D4">
        <f>34-2</f>
        <v>32</v>
      </c>
      <c r="E4">
        <f>29-1</f>
        <v>28</v>
      </c>
      <c r="F4">
        <f>22-0</f>
        <v>22</v>
      </c>
      <c r="H4" s="10">
        <v>5</v>
      </c>
      <c r="I4">
        <f t="shared" ref="I4" si="8">B4*2</f>
        <v>54</v>
      </c>
      <c r="J4">
        <f t="shared" si="0"/>
        <v>44</v>
      </c>
      <c r="K4">
        <f t="shared" si="0"/>
        <v>64</v>
      </c>
      <c r="L4">
        <f t="shared" ref="L4:M9" si="9">E4*2</f>
        <v>56</v>
      </c>
      <c r="M4">
        <f t="shared" si="9"/>
        <v>44</v>
      </c>
      <c r="O4" s="10">
        <v>5</v>
      </c>
      <c r="P4">
        <f t="shared" si="1"/>
        <v>0.49090909090909091</v>
      </c>
      <c r="Q4">
        <f t="shared" si="2"/>
        <v>0.29333333333333333</v>
      </c>
      <c r="R4">
        <f t="shared" si="3"/>
        <v>0.46376811594202899</v>
      </c>
      <c r="S4">
        <f t="shared" si="4"/>
        <v>0.3783783783783784</v>
      </c>
      <c r="T4">
        <f t="shared" si="5"/>
        <v>0.51162790697674421</v>
      </c>
      <c r="U4">
        <f t="shared" si="6"/>
        <v>0.42760336510791513</v>
      </c>
      <c r="V4">
        <f t="shared" si="7"/>
        <v>4.0513681954152267E-2</v>
      </c>
      <c r="X4" t="s">
        <v>9</v>
      </c>
      <c r="Y4" s="2">
        <v>1.107</v>
      </c>
      <c r="Z4" s="2">
        <v>8.2000000000000003E-2</v>
      </c>
      <c r="AA4" s="2">
        <v>7.4039999999999999</v>
      </c>
      <c r="AB4">
        <v>0.87969759999999997</v>
      </c>
      <c r="AE4" s="2"/>
      <c r="AF4" s="2"/>
      <c r="AG4" s="2"/>
    </row>
    <row r="5" spans="1:50" x14ac:dyDescent="0.3">
      <c r="A5" s="10">
        <v>10</v>
      </c>
      <c r="B5">
        <f>35-0</f>
        <v>35</v>
      </c>
      <c r="C5">
        <f>36-1</f>
        <v>35</v>
      </c>
      <c r="D5">
        <f>51-3</f>
        <v>48</v>
      </c>
      <c r="E5">
        <f>35-0</f>
        <v>35</v>
      </c>
      <c r="F5">
        <f>30-4</f>
        <v>26</v>
      </c>
      <c r="H5" s="10">
        <v>10</v>
      </c>
      <c r="I5">
        <f t="shared" ref="I5:K9" si="10">B5*2</f>
        <v>70</v>
      </c>
      <c r="J5">
        <f t="shared" si="10"/>
        <v>70</v>
      </c>
      <c r="K5">
        <f t="shared" si="10"/>
        <v>96</v>
      </c>
      <c r="L5">
        <f t="shared" si="9"/>
        <v>70</v>
      </c>
      <c r="M5">
        <f t="shared" si="9"/>
        <v>52</v>
      </c>
      <c r="O5" s="10">
        <v>10</v>
      </c>
      <c r="P5">
        <f t="shared" si="1"/>
        <v>0.63636363636363635</v>
      </c>
      <c r="Q5">
        <f t="shared" si="2"/>
        <v>0.46666666666666667</v>
      </c>
      <c r="R5">
        <f t="shared" si="3"/>
        <v>0.69565217391304346</v>
      </c>
      <c r="S5">
        <f t="shared" si="4"/>
        <v>0.47297297297297297</v>
      </c>
      <c r="T5">
        <f t="shared" si="5"/>
        <v>0.60465116279069764</v>
      </c>
      <c r="U5">
        <f t="shared" si="6"/>
        <v>0.57526132254140339</v>
      </c>
      <c r="V5">
        <f t="shared" si="7"/>
        <v>4.5468075778662506E-2</v>
      </c>
      <c r="X5" t="s">
        <v>10</v>
      </c>
      <c r="Y5" s="2">
        <v>0.88660000000000005</v>
      </c>
      <c r="Z5" s="2">
        <v>0.1736</v>
      </c>
      <c r="AA5" s="2">
        <v>19.579999999999998</v>
      </c>
      <c r="AB5">
        <v>0.72389829999999999</v>
      </c>
      <c r="AE5" s="2"/>
      <c r="AF5" s="2"/>
      <c r="AG5" s="2"/>
    </row>
    <row r="6" spans="1:50" x14ac:dyDescent="0.3">
      <c r="A6" s="10">
        <v>25</v>
      </c>
      <c r="B6">
        <f>42-3</f>
        <v>39</v>
      </c>
      <c r="C6">
        <f>64-2</f>
        <v>62</v>
      </c>
      <c r="D6">
        <f>76-2</f>
        <v>74</v>
      </c>
      <c r="E6">
        <f>62-0</f>
        <v>62</v>
      </c>
      <c r="F6">
        <f>34-2</f>
        <v>32</v>
      </c>
      <c r="H6" s="10">
        <v>25</v>
      </c>
      <c r="I6">
        <f t="shared" si="10"/>
        <v>78</v>
      </c>
      <c r="J6">
        <f t="shared" si="10"/>
        <v>124</v>
      </c>
      <c r="K6">
        <f t="shared" si="10"/>
        <v>148</v>
      </c>
      <c r="L6">
        <f t="shared" si="9"/>
        <v>124</v>
      </c>
      <c r="M6">
        <f t="shared" si="9"/>
        <v>64</v>
      </c>
      <c r="O6" s="10">
        <v>25</v>
      </c>
      <c r="P6">
        <f t="shared" si="1"/>
        <v>0.70909090909090911</v>
      </c>
      <c r="Q6">
        <f t="shared" si="2"/>
        <v>0.82666666666666666</v>
      </c>
      <c r="R6">
        <f t="shared" si="3"/>
        <v>1.0724637681159421</v>
      </c>
      <c r="S6">
        <f t="shared" si="4"/>
        <v>0.83783783783783783</v>
      </c>
      <c r="T6">
        <f t="shared" si="5"/>
        <v>0.7441860465116279</v>
      </c>
      <c r="U6">
        <f t="shared" si="6"/>
        <v>0.83804904564459659</v>
      </c>
      <c r="V6">
        <f t="shared" si="7"/>
        <v>6.3450897889978319E-2</v>
      </c>
      <c r="X6" t="s">
        <v>11</v>
      </c>
      <c r="Y6" s="2">
        <v>7.7329999999999997</v>
      </c>
      <c r="Z6" s="2">
        <v>1.909</v>
      </c>
      <c r="AA6" s="2">
        <v>24.69</v>
      </c>
      <c r="AB6">
        <v>0.76355969999999995</v>
      </c>
      <c r="AE6" s="2"/>
      <c r="AF6" s="2"/>
      <c r="AG6" s="2"/>
    </row>
    <row r="7" spans="1:50" x14ac:dyDescent="0.3">
      <c r="A7" s="3">
        <v>50</v>
      </c>
      <c r="B7">
        <f>56-1</f>
        <v>55</v>
      </c>
      <c r="C7">
        <f>78-3</f>
        <v>75</v>
      </c>
      <c r="D7">
        <f>73-4</f>
        <v>69</v>
      </c>
      <c r="E7">
        <f>75-1</f>
        <v>74</v>
      </c>
      <c r="F7">
        <f>46-3</f>
        <v>43</v>
      </c>
      <c r="H7" s="3">
        <v>50</v>
      </c>
      <c r="I7">
        <f t="shared" si="10"/>
        <v>110</v>
      </c>
      <c r="J7">
        <f t="shared" si="10"/>
        <v>150</v>
      </c>
      <c r="K7">
        <f t="shared" si="10"/>
        <v>138</v>
      </c>
      <c r="L7">
        <f t="shared" si="9"/>
        <v>148</v>
      </c>
      <c r="M7">
        <f t="shared" si="9"/>
        <v>86</v>
      </c>
      <c r="O7" s="3">
        <v>50</v>
      </c>
      <c r="P7">
        <f t="shared" si="1"/>
        <v>1</v>
      </c>
      <c r="Q7">
        <f t="shared" si="2"/>
        <v>1</v>
      </c>
      <c r="R7">
        <f t="shared" si="3"/>
        <v>1</v>
      </c>
      <c r="S7">
        <f t="shared" si="4"/>
        <v>1</v>
      </c>
      <c r="T7">
        <f t="shared" si="5"/>
        <v>1</v>
      </c>
      <c r="U7">
        <f t="shared" si="6"/>
        <v>1</v>
      </c>
      <c r="V7">
        <f t="shared" si="7"/>
        <v>0</v>
      </c>
    </row>
    <row r="8" spans="1:50" x14ac:dyDescent="0.3">
      <c r="A8" s="10">
        <v>100</v>
      </c>
      <c r="B8">
        <f>54-2</f>
        <v>52</v>
      </c>
      <c r="C8">
        <f>83-3</f>
        <v>80</v>
      </c>
      <c r="D8">
        <f>82-1</f>
        <v>81</v>
      </c>
      <c r="E8">
        <f>67-3</f>
        <v>64</v>
      </c>
      <c r="F8">
        <f>45-7</f>
        <v>38</v>
      </c>
      <c r="H8" s="10">
        <v>100</v>
      </c>
      <c r="I8">
        <f t="shared" si="10"/>
        <v>104</v>
      </c>
      <c r="J8">
        <f t="shared" si="10"/>
        <v>160</v>
      </c>
      <c r="K8">
        <f t="shared" si="10"/>
        <v>162</v>
      </c>
      <c r="L8">
        <f t="shared" si="9"/>
        <v>128</v>
      </c>
      <c r="M8">
        <f t="shared" si="9"/>
        <v>76</v>
      </c>
      <c r="O8" s="10">
        <v>100</v>
      </c>
      <c r="P8">
        <f t="shared" si="1"/>
        <v>0.94545454545454544</v>
      </c>
      <c r="Q8">
        <f t="shared" si="2"/>
        <v>1.0666666666666667</v>
      </c>
      <c r="R8">
        <f t="shared" si="3"/>
        <v>1.173913043478261</v>
      </c>
      <c r="S8">
        <f t="shared" si="4"/>
        <v>0.86486486486486491</v>
      </c>
      <c r="T8">
        <f t="shared" si="5"/>
        <v>0.88372093023255816</v>
      </c>
      <c r="U8">
        <f t="shared" si="6"/>
        <v>0.98692401013937925</v>
      </c>
      <c r="V8">
        <f t="shared" si="7"/>
        <v>5.856313559214682E-2</v>
      </c>
    </row>
    <row r="9" spans="1:50" x14ac:dyDescent="0.3">
      <c r="A9" s="10">
        <v>150</v>
      </c>
      <c r="B9">
        <f>65-1</f>
        <v>64</v>
      </c>
      <c r="C9">
        <f>83-1</f>
        <v>82</v>
      </c>
      <c r="D9">
        <f>79-3</f>
        <v>76</v>
      </c>
      <c r="E9">
        <f>55-0</f>
        <v>55</v>
      </c>
      <c r="F9">
        <f>40-2</f>
        <v>38</v>
      </c>
      <c r="H9" s="10">
        <v>150</v>
      </c>
      <c r="I9">
        <f t="shared" si="10"/>
        <v>128</v>
      </c>
      <c r="J9">
        <f t="shared" si="10"/>
        <v>164</v>
      </c>
      <c r="K9">
        <f t="shared" si="10"/>
        <v>152</v>
      </c>
      <c r="L9">
        <f t="shared" si="9"/>
        <v>110</v>
      </c>
      <c r="M9">
        <f t="shared" si="9"/>
        <v>76</v>
      </c>
      <c r="O9" s="10">
        <v>150</v>
      </c>
      <c r="P9">
        <f t="shared" si="1"/>
        <v>1.1636363636363636</v>
      </c>
      <c r="Q9">
        <f t="shared" si="2"/>
        <v>1.0933333333333333</v>
      </c>
      <c r="R9">
        <f t="shared" si="3"/>
        <v>1.1014492753623188</v>
      </c>
      <c r="S9">
        <f t="shared" si="4"/>
        <v>0.7432432432432432</v>
      </c>
      <c r="T9">
        <f t="shared" si="5"/>
        <v>0.88372093023255816</v>
      </c>
      <c r="U9">
        <f t="shared" si="6"/>
        <v>0.99707662916156337</v>
      </c>
      <c r="V9">
        <f t="shared" si="7"/>
        <v>7.911448976253263E-2</v>
      </c>
      <c r="AD9" s="48" t="s">
        <v>94</v>
      </c>
      <c r="AE9" s="48"/>
      <c r="AF9" s="48"/>
      <c r="AG9" s="48"/>
      <c r="AH9" s="48"/>
      <c r="AI9" s="48"/>
      <c r="AK9" s="48" t="s">
        <v>95</v>
      </c>
      <c r="AL9" s="48"/>
      <c r="AM9" s="48"/>
      <c r="AN9" s="48"/>
      <c r="AO9" s="48"/>
      <c r="AP9" s="48"/>
      <c r="AQ9" s="48"/>
      <c r="AR9" s="48"/>
      <c r="AT9" s="48" t="s">
        <v>29</v>
      </c>
      <c r="AU9" s="48"/>
      <c r="AV9" s="48"/>
    </row>
    <row r="11" spans="1:50" x14ac:dyDescent="0.3">
      <c r="H11" s="10"/>
      <c r="O11" s="10"/>
      <c r="AD11" s="48" t="s">
        <v>93</v>
      </c>
      <c r="AE11" s="48"/>
      <c r="AF11" s="48"/>
      <c r="AG11" s="48"/>
      <c r="AH11" s="48"/>
      <c r="AI11">
        <v>3.6911923225476011</v>
      </c>
      <c r="AK11" s="10"/>
    </row>
    <row r="12" spans="1:50" x14ac:dyDescent="0.3">
      <c r="A12" s="10" t="s">
        <v>0</v>
      </c>
      <c r="B12" t="s">
        <v>1</v>
      </c>
      <c r="C12" t="s">
        <v>2</v>
      </c>
      <c r="D12" t="s">
        <v>3</v>
      </c>
      <c r="E12" t="s">
        <v>24</v>
      </c>
      <c r="F12" t="s">
        <v>25</v>
      </c>
      <c r="H12" s="10" t="s">
        <v>0</v>
      </c>
      <c r="I12" t="s">
        <v>1</v>
      </c>
      <c r="J12" t="s">
        <v>2</v>
      </c>
      <c r="K12" t="s">
        <v>3</v>
      </c>
      <c r="L12" t="s">
        <v>24</v>
      </c>
      <c r="M12" t="s">
        <v>25</v>
      </c>
      <c r="O12" s="10" t="s">
        <v>0</v>
      </c>
      <c r="P12" t="s">
        <v>1</v>
      </c>
      <c r="Q12" t="s">
        <v>2</v>
      </c>
      <c r="R12" t="s">
        <v>3</v>
      </c>
      <c r="S12" t="s">
        <v>24</v>
      </c>
      <c r="T12" t="s">
        <v>25</v>
      </c>
      <c r="U12" s="1" t="s">
        <v>18</v>
      </c>
      <c r="V12" s="1" t="s">
        <v>92</v>
      </c>
      <c r="Y12" s="2"/>
      <c r="Z12" s="2"/>
      <c r="AA12" s="2"/>
      <c r="AD12" s="10" t="s">
        <v>0</v>
      </c>
      <c r="AE12" t="s">
        <v>1</v>
      </c>
      <c r="AF12" t="s">
        <v>2</v>
      </c>
      <c r="AG12" t="s">
        <v>3</v>
      </c>
      <c r="AH12" t="s">
        <v>24</v>
      </c>
      <c r="AI12" t="s">
        <v>25</v>
      </c>
      <c r="AK12" s="10" t="s">
        <v>0</v>
      </c>
      <c r="AL12" t="s">
        <v>1</v>
      </c>
      <c r="AM12" t="s">
        <v>2</v>
      </c>
      <c r="AN12" t="s">
        <v>3</v>
      </c>
      <c r="AO12" t="s">
        <v>24</v>
      </c>
      <c r="AP12" t="s">
        <v>25</v>
      </c>
      <c r="AQ12" s="1" t="s">
        <v>18</v>
      </c>
      <c r="AR12" s="1" t="s">
        <v>92</v>
      </c>
      <c r="AU12" s="2"/>
      <c r="AV12" s="2"/>
      <c r="AW12" s="2"/>
    </row>
    <row r="13" spans="1:50" x14ac:dyDescent="0.3">
      <c r="A13" s="10">
        <v>1</v>
      </c>
      <c r="B13">
        <f>11-3</f>
        <v>8</v>
      </c>
      <c r="C13">
        <f>12-4</f>
        <v>8</v>
      </c>
      <c r="D13">
        <f>14-1</f>
        <v>13</v>
      </c>
      <c r="E13">
        <f>15-1</f>
        <v>14</v>
      </c>
      <c r="F13">
        <f>15-4</f>
        <v>11</v>
      </c>
      <c r="H13" s="10">
        <v>1</v>
      </c>
      <c r="I13">
        <f>B13*2</f>
        <v>16</v>
      </c>
      <c r="J13">
        <f t="shared" ref="J13:M14" si="11">C13*2</f>
        <v>16</v>
      </c>
      <c r="K13">
        <f t="shared" si="11"/>
        <v>26</v>
      </c>
      <c r="L13">
        <f t="shared" si="11"/>
        <v>28</v>
      </c>
      <c r="M13">
        <f t="shared" si="11"/>
        <v>22</v>
      </c>
      <c r="O13" s="10">
        <v>1</v>
      </c>
      <c r="P13">
        <f t="shared" ref="P13:P19" si="12">I13/$I$7</f>
        <v>0.14545454545454545</v>
      </c>
      <c r="Q13">
        <f t="shared" ref="Q13:Q19" si="13">J13/$J$7</f>
        <v>0.10666666666666667</v>
      </c>
      <c r="R13">
        <f t="shared" ref="R13:R19" si="14">K13/$K$7</f>
        <v>0.18840579710144928</v>
      </c>
      <c r="S13">
        <f t="shared" ref="S13:S19" si="15">L13/$L$7</f>
        <v>0.1891891891891892</v>
      </c>
      <c r="T13">
        <f t="shared" ref="T13:T19" si="16">M13/$M$7</f>
        <v>0.2558139534883721</v>
      </c>
      <c r="U13">
        <f t="shared" ref="U13:U23" si="17">AVERAGE(P13:T13)</f>
        <v>0.17710603038004455</v>
      </c>
      <c r="V13">
        <f>STDEV(P13:T13)/SQRT(5)</f>
        <v>2.4932052736513874E-2</v>
      </c>
      <c r="X13" t="s">
        <v>4</v>
      </c>
      <c r="Y13" s="2" t="s">
        <v>5</v>
      </c>
      <c r="Z13" s="2" t="s">
        <v>6</v>
      </c>
      <c r="AA13" s="2" t="s">
        <v>7</v>
      </c>
      <c r="AB13" t="s">
        <v>8</v>
      </c>
      <c r="AD13" s="10">
        <v>1</v>
      </c>
      <c r="AE13">
        <f>I13*$AI$11</f>
        <v>59.059077160761618</v>
      </c>
      <c r="AF13">
        <f t="shared" ref="AF13:AI13" si="18">J13*$AI$11</f>
        <v>59.059077160761618</v>
      </c>
      <c r="AG13">
        <f t="shared" si="18"/>
        <v>95.971000386237634</v>
      </c>
      <c r="AH13">
        <f t="shared" si="18"/>
        <v>103.35338503133283</v>
      </c>
      <c r="AI13">
        <f t="shared" si="18"/>
        <v>81.206231096047219</v>
      </c>
      <c r="AK13" s="10">
        <v>1</v>
      </c>
      <c r="AL13">
        <f t="shared" ref="AL13:AP19" si="19">AE13/AE$16</f>
        <v>0.25</v>
      </c>
      <c r="AM13">
        <f t="shared" si="19"/>
        <v>0.17777777777777778</v>
      </c>
      <c r="AN13">
        <f t="shared" si="19"/>
        <v>0.32500000000000001</v>
      </c>
      <c r="AO13">
        <f t="shared" si="19"/>
        <v>0.42424242424242425</v>
      </c>
      <c r="AP13">
        <f t="shared" si="19"/>
        <v>0.73333333333333328</v>
      </c>
      <c r="AQ13">
        <f t="shared" ref="AQ13:AQ19" si="20">AVERAGE(AL13:AP13)</f>
        <v>0.38207070707070712</v>
      </c>
      <c r="AR13">
        <f t="shared" ref="AR13:AR19" si="21">STDEV(AL13:AP13)/SQRT(5)</f>
        <v>9.6850199940145043E-2</v>
      </c>
      <c r="AT13" t="s">
        <v>4</v>
      </c>
      <c r="AU13" s="2" t="s">
        <v>5</v>
      </c>
      <c r="AV13" s="2" t="s">
        <v>6</v>
      </c>
      <c r="AW13" s="2" t="s">
        <v>7</v>
      </c>
      <c r="AX13" t="s">
        <v>8</v>
      </c>
    </row>
    <row r="14" spans="1:50" x14ac:dyDescent="0.3">
      <c r="A14" s="10">
        <v>5</v>
      </c>
      <c r="B14">
        <f>22-3</f>
        <v>19</v>
      </c>
      <c r="C14">
        <f>29-1</f>
        <v>28</v>
      </c>
      <c r="D14">
        <f>31-2</f>
        <v>29</v>
      </c>
      <c r="E14">
        <f>34-0</f>
        <v>34</v>
      </c>
      <c r="F14">
        <f>15-3</f>
        <v>12</v>
      </c>
      <c r="H14" s="10">
        <v>5</v>
      </c>
      <c r="I14">
        <f t="shared" ref="I14" si="22">B14*2</f>
        <v>38</v>
      </c>
      <c r="J14">
        <f t="shared" si="11"/>
        <v>56</v>
      </c>
      <c r="K14">
        <f t="shared" si="11"/>
        <v>58</v>
      </c>
      <c r="L14">
        <f t="shared" ref="L14:M19" si="23">E14*2</f>
        <v>68</v>
      </c>
      <c r="M14">
        <f t="shared" si="23"/>
        <v>24</v>
      </c>
      <c r="O14" s="10">
        <v>5</v>
      </c>
      <c r="P14">
        <f t="shared" si="12"/>
        <v>0.34545454545454546</v>
      </c>
      <c r="Q14">
        <f t="shared" si="13"/>
        <v>0.37333333333333335</v>
      </c>
      <c r="R14">
        <f t="shared" si="14"/>
        <v>0.42028985507246375</v>
      </c>
      <c r="S14">
        <f t="shared" si="15"/>
        <v>0.45945945945945948</v>
      </c>
      <c r="T14">
        <f t="shared" si="16"/>
        <v>0.27906976744186046</v>
      </c>
      <c r="U14">
        <f t="shared" ref="U14:U19" si="24">AVERAGE(P14:T14)</f>
        <v>0.37552139215233249</v>
      </c>
      <c r="V14">
        <f>STDEV(P14:T14)/SQRT(5)</f>
        <v>3.1033476437969654E-2</v>
      </c>
      <c r="X14" t="s">
        <v>9</v>
      </c>
      <c r="Y14" s="2">
        <v>0.48039999999999999</v>
      </c>
      <c r="Z14" s="2">
        <v>1.7559999999999999E-2</v>
      </c>
      <c r="AA14" s="2">
        <v>3.6560000000000001</v>
      </c>
      <c r="AB14">
        <v>0.48347849999999998</v>
      </c>
      <c r="AD14" s="10">
        <v>5</v>
      </c>
      <c r="AE14">
        <f t="shared" ref="AE14:AE19" si="25">I14*$AI$11</f>
        <v>140.26530825680885</v>
      </c>
      <c r="AF14">
        <f t="shared" ref="AF14:AF19" si="26">J14*$AI$11</f>
        <v>206.70677006266567</v>
      </c>
      <c r="AG14">
        <f t="shared" ref="AG14:AG19" si="27">K14*$AI$11</f>
        <v>214.08915470776085</v>
      </c>
      <c r="AH14">
        <f t="shared" ref="AH14:AH19" si="28">L14*$AI$11</f>
        <v>251.00107793323687</v>
      </c>
      <c r="AI14">
        <f t="shared" ref="AI14:AI19" si="29">M14*$AI$11</f>
        <v>88.588615741142434</v>
      </c>
      <c r="AK14" s="10">
        <v>5</v>
      </c>
      <c r="AL14">
        <f>AE14/AE$16</f>
        <v>0.59375</v>
      </c>
      <c r="AM14">
        <f t="shared" si="19"/>
        <v>0.62222222222222223</v>
      </c>
      <c r="AN14">
        <f t="shared" si="19"/>
        <v>0.72499999999999998</v>
      </c>
      <c r="AO14">
        <f t="shared" si="19"/>
        <v>1.0303030303030303</v>
      </c>
      <c r="AP14">
        <f t="shared" si="19"/>
        <v>0.8</v>
      </c>
      <c r="AQ14">
        <f t="shared" si="20"/>
        <v>0.75425505050505048</v>
      </c>
      <c r="AR14">
        <f t="shared" si="21"/>
        <v>7.8213005477633282E-2</v>
      </c>
      <c r="AT14" t="s">
        <v>9</v>
      </c>
      <c r="AU14" s="5">
        <v>0.98070000000000002</v>
      </c>
      <c r="AV14" s="5">
        <v>2.537E-2</v>
      </c>
      <c r="AW14" s="5">
        <v>2.5870000000000002</v>
      </c>
      <c r="AX14">
        <v>0.57645619999999997</v>
      </c>
    </row>
    <row r="15" spans="1:50" x14ac:dyDescent="0.3">
      <c r="A15" s="10">
        <v>10</v>
      </c>
      <c r="B15">
        <f>34-3</f>
        <v>31</v>
      </c>
      <c r="C15">
        <f>39-2</f>
        <v>37</v>
      </c>
      <c r="D15">
        <f>38-2</f>
        <v>36</v>
      </c>
      <c r="E15">
        <f>35-1</f>
        <v>34</v>
      </c>
      <c r="F15">
        <f>14-4</f>
        <v>10</v>
      </c>
      <c r="H15" s="10">
        <v>10</v>
      </c>
      <c r="I15">
        <f t="shared" ref="I15:K19" si="30">B15*2</f>
        <v>62</v>
      </c>
      <c r="J15">
        <f t="shared" si="30"/>
        <v>74</v>
      </c>
      <c r="K15">
        <f t="shared" si="30"/>
        <v>72</v>
      </c>
      <c r="L15">
        <f t="shared" si="23"/>
        <v>68</v>
      </c>
      <c r="M15">
        <f t="shared" si="23"/>
        <v>20</v>
      </c>
      <c r="O15" s="10">
        <v>10</v>
      </c>
      <c r="P15">
        <f t="shared" si="12"/>
        <v>0.5636363636363636</v>
      </c>
      <c r="Q15">
        <f>J15/$J$7</f>
        <v>0.49333333333333335</v>
      </c>
      <c r="R15">
        <f t="shared" si="14"/>
        <v>0.52173913043478259</v>
      </c>
      <c r="S15">
        <f t="shared" si="15"/>
        <v>0.45945945945945948</v>
      </c>
      <c r="T15">
        <f t="shared" si="16"/>
        <v>0.23255813953488372</v>
      </c>
      <c r="U15">
        <f t="shared" si="24"/>
        <v>0.45414528527976455</v>
      </c>
      <c r="V15">
        <f>STDEV(P15:T15)/SQRT(5)</f>
        <v>5.7975007916927196E-2</v>
      </c>
      <c r="X15" t="s">
        <v>10</v>
      </c>
      <c r="Y15" s="2">
        <v>1.327</v>
      </c>
      <c r="Z15" s="2">
        <v>0.31119999999999998</v>
      </c>
      <c r="AA15" s="2">
        <v>23.46</v>
      </c>
      <c r="AB15">
        <v>0.36548459999999999</v>
      </c>
      <c r="AD15" s="10">
        <v>10</v>
      </c>
      <c r="AE15">
        <f t="shared" si="25"/>
        <v>228.85392399795126</v>
      </c>
      <c r="AF15">
        <f t="shared" si="26"/>
        <v>273.14823186852249</v>
      </c>
      <c r="AG15">
        <f t="shared" si="27"/>
        <v>265.76584722342727</v>
      </c>
      <c r="AH15">
        <f t="shared" si="28"/>
        <v>251.00107793323687</v>
      </c>
      <c r="AI15">
        <f t="shared" si="29"/>
        <v>73.823846450952018</v>
      </c>
      <c r="AK15" s="10">
        <v>10</v>
      </c>
      <c r="AL15">
        <f t="shared" si="19"/>
        <v>0.96875</v>
      </c>
      <c r="AM15">
        <f t="shared" si="19"/>
        <v>0.8222222222222223</v>
      </c>
      <c r="AN15">
        <f t="shared" si="19"/>
        <v>0.9</v>
      </c>
      <c r="AO15">
        <f t="shared" si="19"/>
        <v>1.0303030303030303</v>
      </c>
      <c r="AP15">
        <f t="shared" si="19"/>
        <v>0.66666666666666663</v>
      </c>
      <c r="AQ15">
        <f t="shared" si="20"/>
        <v>0.87758838383838389</v>
      </c>
      <c r="AR15">
        <f t="shared" si="21"/>
        <v>6.3122051088255984E-2</v>
      </c>
      <c r="AT15" t="s">
        <v>10</v>
      </c>
      <c r="AU15" s="5">
        <v>1.1379999999999999</v>
      </c>
      <c r="AV15" s="5">
        <v>0.1749</v>
      </c>
      <c r="AW15" s="5">
        <v>15.36</v>
      </c>
      <c r="AX15">
        <v>0.47693229999999998</v>
      </c>
    </row>
    <row r="16" spans="1:50" x14ac:dyDescent="0.3">
      <c r="A16" s="3">
        <v>25</v>
      </c>
      <c r="B16">
        <f>34-2</f>
        <v>32</v>
      </c>
      <c r="C16">
        <f>52-7</f>
        <v>45</v>
      </c>
      <c r="D16">
        <f>42-2</f>
        <v>40</v>
      </c>
      <c r="E16">
        <f>38-5</f>
        <v>33</v>
      </c>
      <c r="F16">
        <f>19-4</f>
        <v>15</v>
      </c>
      <c r="H16" s="3">
        <v>25</v>
      </c>
      <c r="I16">
        <f t="shared" si="30"/>
        <v>64</v>
      </c>
      <c r="J16">
        <f t="shared" si="30"/>
        <v>90</v>
      </c>
      <c r="K16">
        <f t="shared" si="30"/>
        <v>80</v>
      </c>
      <c r="L16">
        <f t="shared" si="23"/>
        <v>66</v>
      </c>
      <c r="M16">
        <f t="shared" si="23"/>
        <v>30</v>
      </c>
      <c r="O16" s="3">
        <v>25</v>
      </c>
      <c r="P16">
        <f t="shared" si="12"/>
        <v>0.58181818181818179</v>
      </c>
      <c r="Q16">
        <f>J16/$J$7</f>
        <v>0.6</v>
      </c>
      <c r="R16">
        <f t="shared" si="14"/>
        <v>0.57971014492753625</v>
      </c>
      <c r="S16">
        <f t="shared" si="15"/>
        <v>0.44594594594594594</v>
      </c>
      <c r="T16">
        <f t="shared" si="16"/>
        <v>0.34883720930232559</v>
      </c>
      <c r="U16">
        <f t="shared" si="24"/>
        <v>0.51126229639879794</v>
      </c>
      <c r="V16">
        <f t="shared" ref="V16:V29" si="31">STDEV(P16:T16)/SQRT(5)</f>
        <v>4.9084496295020423E-2</v>
      </c>
      <c r="X16" t="s">
        <v>11</v>
      </c>
      <c r="Y16" s="2">
        <v>1.5549999999999999</v>
      </c>
      <c r="Z16" s="2">
        <v>0.29320000000000002</v>
      </c>
      <c r="AA16" s="2">
        <v>18.850000000000001</v>
      </c>
      <c r="AB16">
        <v>0.22611400000000001</v>
      </c>
      <c r="AD16" s="3">
        <v>25</v>
      </c>
      <c r="AE16">
        <f t="shared" si="25"/>
        <v>236.23630864304647</v>
      </c>
      <c r="AF16">
        <f t="shared" si="26"/>
        <v>332.20730902928409</v>
      </c>
      <c r="AG16">
        <f t="shared" si="27"/>
        <v>295.29538580380807</v>
      </c>
      <c r="AH16">
        <f t="shared" si="28"/>
        <v>243.61869328814169</v>
      </c>
      <c r="AI16">
        <f t="shared" si="29"/>
        <v>110.73576967642803</v>
      </c>
      <c r="AK16" s="3">
        <v>25</v>
      </c>
      <c r="AL16">
        <f t="shared" si="19"/>
        <v>1</v>
      </c>
      <c r="AM16">
        <f t="shared" si="19"/>
        <v>1</v>
      </c>
      <c r="AN16">
        <f t="shared" si="19"/>
        <v>1</v>
      </c>
      <c r="AO16">
        <f t="shared" si="19"/>
        <v>1</v>
      </c>
      <c r="AP16">
        <f t="shared" si="19"/>
        <v>1</v>
      </c>
      <c r="AQ16">
        <f t="shared" si="20"/>
        <v>1</v>
      </c>
      <c r="AR16">
        <f t="shared" si="21"/>
        <v>0</v>
      </c>
      <c r="AT16" t="s">
        <v>11</v>
      </c>
      <c r="AU16" s="5">
        <v>1.5289999999999999</v>
      </c>
      <c r="AV16" s="5">
        <v>0.20300000000000001</v>
      </c>
      <c r="AW16" s="5">
        <v>13.28</v>
      </c>
      <c r="AX16">
        <v>0.27692709999999998</v>
      </c>
    </row>
    <row r="17" spans="1:50" x14ac:dyDescent="0.3">
      <c r="A17" s="10">
        <v>50</v>
      </c>
      <c r="B17">
        <f>25-3</f>
        <v>22</v>
      </c>
      <c r="C17">
        <f>45-2</f>
        <v>43</v>
      </c>
      <c r="D17">
        <f>43-2</f>
        <v>41</v>
      </c>
      <c r="E17">
        <f>31-1</f>
        <v>30</v>
      </c>
      <c r="F17">
        <f>21-2</f>
        <v>19</v>
      </c>
      <c r="H17" s="10">
        <v>50</v>
      </c>
      <c r="I17">
        <f t="shared" si="30"/>
        <v>44</v>
      </c>
      <c r="J17">
        <f t="shared" si="30"/>
        <v>86</v>
      </c>
      <c r="K17">
        <f t="shared" si="30"/>
        <v>82</v>
      </c>
      <c r="L17">
        <f t="shared" si="23"/>
        <v>60</v>
      </c>
      <c r="M17">
        <f t="shared" si="23"/>
        <v>38</v>
      </c>
      <c r="O17" s="10">
        <v>50</v>
      </c>
      <c r="P17">
        <f t="shared" si="12"/>
        <v>0.4</v>
      </c>
      <c r="Q17">
        <f t="shared" si="13"/>
        <v>0.57333333333333336</v>
      </c>
      <c r="R17">
        <f t="shared" si="14"/>
        <v>0.59420289855072461</v>
      </c>
      <c r="S17">
        <f t="shared" si="15"/>
        <v>0.40540540540540543</v>
      </c>
      <c r="T17">
        <f t="shared" si="16"/>
        <v>0.44186046511627908</v>
      </c>
      <c r="U17">
        <f t="shared" si="24"/>
        <v>0.48296042048114851</v>
      </c>
      <c r="V17">
        <f>STDEV(P17:T17)/SQRT(5)</f>
        <v>4.1909766382819784E-2</v>
      </c>
      <c r="AD17" s="10">
        <v>50</v>
      </c>
      <c r="AE17">
        <f t="shared" si="25"/>
        <v>162.41246219209444</v>
      </c>
      <c r="AF17">
        <f t="shared" si="26"/>
        <v>317.44253973909372</v>
      </c>
      <c r="AG17">
        <f t="shared" si="27"/>
        <v>302.67777044890329</v>
      </c>
      <c r="AH17">
        <f t="shared" si="28"/>
        <v>221.47153935285607</v>
      </c>
      <c r="AI17">
        <f t="shared" si="29"/>
        <v>140.26530825680885</v>
      </c>
      <c r="AK17" s="10">
        <v>50</v>
      </c>
      <c r="AL17">
        <f t="shared" si="19"/>
        <v>0.6875</v>
      </c>
      <c r="AM17">
        <f t="shared" si="19"/>
        <v>0.9555555555555556</v>
      </c>
      <c r="AN17">
        <f t="shared" si="19"/>
        <v>1.0250000000000001</v>
      </c>
      <c r="AO17">
        <f t="shared" si="19"/>
        <v>0.90909090909090906</v>
      </c>
      <c r="AP17">
        <f t="shared" si="19"/>
        <v>1.2666666666666668</v>
      </c>
      <c r="AQ17">
        <f t="shared" si="20"/>
        <v>0.96876262626262633</v>
      </c>
      <c r="AR17">
        <f t="shared" si="21"/>
        <v>9.3475468699804026E-2</v>
      </c>
    </row>
    <row r="18" spans="1:50" x14ac:dyDescent="0.3">
      <c r="A18" s="10">
        <v>100</v>
      </c>
      <c r="B18">
        <f>19-1</f>
        <v>18</v>
      </c>
      <c r="C18">
        <f>33-2</f>
        <v>31</v>
      </c>
      <c r="D18">
        <f>46-2</f>
        <v>44</v>
      </c>
      <c r="E18">
        <f>26-1</f>
        <v>25</v>
      </c>
      <c r="F18">
        <f>29-3</f>
        <v>26</v>
      </c>
      <c r="H18" s="10">
        <v>100</v>
      </c>
      <c r="I18">
        <f t="shared" si="30"/>
        <v>36</v>
      </c>
      <c r="J18">
        <f t="shared" si="30"/>
        <v>62</v>
      </c>
      <c r="K18">
        <f t="shared" si="30"/>
        <v>88</v>
      </c>
      <c r="L18">
        <f t="shared" si="23"/>
        <v>50</v>
      </c>
      <c r="M18">
        <f t="shared" si="23"/>
        <v>52</v>
      </c>
      <c r="O18" s="10">
        <v>100</v>
      </c>
      <c r="P18">
        <f t="shared" si="12"/>
        <v>0.32727272727272727</v>
      </c>
      <c r="Q18">
        <f t="shared" si="13"/>
        <v>0.41333333333333333</v>
      </c>
      <c r="R18">
        <f t="shared" si="14"/>
        <v>0.6376811594202898</v>
      </c>
      <c r="S18">
        <f t="shared" si="15"/>
        <v>0.33783783783783783</v>
      </c>
      <c r="T18">
        <f t="shared" si="16"/>
        <v>0.60465116279069764</v>
      </c>
      <c r="U18">
        <f t="shared" si="24"/>
        <v>0.4641552441309772</v>
      </c>
      <c r="V18">
        <f t="shared" si="31"/>
        <v>6.6002319507813892E-2</v>
      </c>
      <c r="AD18" s="10">
        <v>100</v>
      </c>
      <c r="AE18">
        <f t="shared" si="25"/>
        <v>132.88292361171364</v>
      </c>
      <c r="AF18">
        <f t="shared" si="26"/>
        <v>228.85392399795126</v>
      </c>
      <c r="AG18">
        <f t="shared" si="27"/>
        <v>324.82492438418888</v>
      </c>
      <c r="AH18">
        <f t="shared" si="28"/>
        <v>184.55961612738005</v>
      </c>
      <c r="AI18">
        <f t="shared" si="29"/>
        <v>191.94200077247527</v>
      </c>
      <c r="AK18" s="10">
        <v>100</v>
      </c>
      <c r="AL18">
        <f t="shared" si="19"/>
        <v>0.5625</v>
      </c>
      <c r="AM18">
        <f t="shared" si="19"/>
        <v>0.68888888888888888</v>
      </c>
      <c r="AN18">
        <f t="shared" si="19"/>
        <v>1.1000000000000001</v>
      </c>
      <c r="AO18">
        <f t="shared" si="19"/>
        <v>0.75757575757575757</v>
      </c>
      <c r="AP18">
        <f t="shared" si="19"/>
        <v>1.7333333333333334</v>
      </c>
      <c r="AQ18">
        <f t="shared" si="20"/>
        <v>0.96845959595959596</v>
      </c>
      <c r="AR18">
        <f t="shared" si="21"/>
        <v>0.21092293368839429</v>
      </c>
    </row>
    <row r="19" spans="1:50" x14ac:dyDescent="0.3">
      <c r="A19" s="10">
        <v>150</v>
      </c>
      <c r="B19">
        <f>21-0</f>
        <v>21</v>
      </c>
      <c r="C19">
        <f>27-2</f>
        <v>25</v>
      </c>
      <c r="D19">
        <f>47-1</f>
        <v>46</v>
      </c>
      <c r="E19">
        <f>22-1</f>
        <v>21</v>
      </c>
      <c r="F19">
        <f>30-5</f>
        <v>25</v>
      </c>
      <c r="H19" s="10">
        <v>150</v>
      </c>
      <c r="I19">
        <f t="shared" si="30"/>
        <v>42</v>
      </c>
      <c r="J19">
        <f t="shared" si="30"/>
        <v>50</v>
      </c>
      <c r="K19">
        <f t="shared" si="30"/>
        <v>92</v>
      </c>
      <c r="L19">
        <f t="shared" si="23"/>
        <v>42</v>
      </c>
      <c r="M19">
        <f t="shared" si="23"/>
        <v>50</v>
      </c>
      <c r="O19" s="10">
        <v>150</v>
      </c>
      <c r="P19">
        <f t="shared" si="12"/>
        <v>0.38181818181818183</v>
      </c>
      <c r="Q19">
        <f t="shared" si="13"/>
        <v>0.33333333333333331</v>
      </c>
      <c r="R19">
        <f t="shared" si="14"/>
        <v>0.66666666666666663</v>
      </c>
      <c r="S19">
        <f t="shared" si="15"/>
        <v>0.28378378378378377</v>
      </c>
      <c r="T19">
        <f t="shared" si="16"/>
        <v>0.58139534883720934</v>
      </c>
      <c r="U19">
        <f t="shared" si="24"/>
        <v>0.449399462887835</v>
      </c>
      <c r="V19">
        <f t="shared" si="31"/>
        <v>7.4194029709709924E-2</v>
      </c>
      <c r="AD19" s="10">
        <v>150</v>
      </c>
      <c r="AE19">
        <f t="shared" si="25"/>
        <v>155.03007754699925</v>
      </c>
      <c r="AF19">
        <f t="shared" si="26"/>
        <v>184.55961612738005</v>
      </c>
      <c r="AG19">
        <f t="shared" si="27"/>
        <v>339.5896936743793</v>
      </c>
      <c r="AH19">
        <f t="shared" si="28"/>
        <v>155.03007754699925</v>
      </c>
      <c r="AI19">
        <f t="shared" si="29"/>
        <v>184.55961612738005</v>
      </c>
      <c r="AK19" s="10">
        <v>150</v>
      </c>
      <c r="AL19">
        <f t="shared" si="19"/>
        <v>0.65625</v>
      </c>
      <c r="AM19">
        <f t="shared" si="19"/>
        <v>0.55555555555555558</v>
      </c>
      <c r="AN19">
        <f t="shared" si="19"/>
        <v>1.1500000000000001</v>
      </c>
      <c r="AO19">
        <f t="shared" si="19"/>
        <v>0.63636363636363635</v>
      </c>
      <c r="AP19">
        <f t="shared" si="19"/>
        <v>1.6666666666666665</v>
      </c>
      <c r="AQ19">
        <f t="shared" si="20"/>
        <v>0.93296717171717169</v>
      </c>
      <c r="AR19">
        <f t="shared" si="21"/>
        <v>0.21123491375275502</v>
      </c>
    </row>
    <row r="21" spans="1:50" x14ac:dyDescent="0.3">
      <c r="H21" s="10"/>
      <c r="O21" s="10"/>
      <c r="AD21" s="48" t="s">
        <v>93</v>
      </c>
      <c r="AE21" s="48"/>
      <c r="AF21" s="48"/>
      <c r="AG21" s="48"/>
      <c r="AH21" s="48"/>
      <c r="AI21">
        <v>1.3851637920341076</v>
      </c>
      <c r="AK21" s="10"/>
    </row>
    <row r="22" spans="1:50" x14ac:dyDescent="0.3">
      <c r="A22" s="10" t="s">
        <v>13</v>
      </c>
      <c r="B22" t="s">
        <v>1</v>
      </c>
      <c r="C22" t="s">
        <v>2</v>
      </c>
      <c r="D22" t="s">
        <v>3</v>
      </c>
      <c r="E22" t="s">
        <v>24</v>
      </c>
      <c r="F22" t="s">
        <v>25</v>
      </c>
      <c r="H22" s="10" t="s">
        <v>13</v>
      </c>
      <c r="I22" t="s">
        <v>1</v>
      </c>
      <c r="J22" t="s">
        <v>2</v>
      </c>
      <c r="K22" t="s">
        <v>3</v>
      </c>
      <c r="L22" t="s">
        <v>24</v>
      </c>
      <c r="M22" t="s">
        <v>25</v>
      </c>
      <c r="O22" s="10" t="s">
        <v>13</v>
      </c>
      <c r="P22" t="s">
        <v>1</v>
      </c>
      <c r="Q22" t="s">
        <v>2</v>
      </c>
      <c r="R22" t="s">
        <v>3</v>
      </c>
      <c r="S22" t="s">
        <v>24</v>
      </c>
      <c r="T22" t="s">
        <v>25</v>
      </c>
      <c r="U22" s="1" t="s">
        <v>18</v>
      </c>
      <c r="V22" s="1" t="s">
        <v>92</v>
      </c>
      <c r="AD22" s="10" t="s">
        <v>42</v>
      </c>
      <c r="AE22" t="s">
        <v>1</v>
      </c>
      <c r="AF22" t="s">
        <v>2</v>
      </c>
      <c r="AG22" t="s">
        <v>3</v>
      </c>
      <c r="AH22" t="s">
        <v>24</v>
      </c>
      <c r="AI22" t="s">
        <v>25</v>
      </c>
      <c r="AK22" s="10" t="s">
        <v>42</v>
      </c>
      <c r="AL22" t="s">
        <v>1</v>
      </c>
      <c r="AM22" t="s">
        <v>2</v>
      </c>
      <c r="AN22" t="s">
        <v>3</v>
      </c>
      <c r="AO22" t="s">
        <v>24</v>
      </c>
      <c r="AP22" t="s">
        <v>25</v>
      </c>
      <c r="AQ22" s="1" t="s">
        <v>18</v>
      </c>
      <c r="AR22" s="1" t="s">
        <v>92</v>
      </c>
      <c r="AT22" t="s">
        <v>4</v>
      </c>
      <c r="AU22" t="s">
        <v>5</v>
      </c>
      <c r="AV22" t="s">
        <v>6</v>
      </c>
      <c r="AW22" t="s">
        <v>7</v>
      </c>
      <c r="AX22" t="s">
        <v>8</v>
      </c>
    </row>
    <row r="23" spans="1:50" x14ac:dyDescent="0.3">
      <c r="A23" s="10">
        <v>1</v>
      </c>
      <c r="B23">
        <f>11-1</f>
        <v>10</v>
      </c>
      <c r="C23">
        <f>7-0</f>
        <v>7</v>
      </c>
      <c r="D23">
        <f>7-2</f>
        <v>5</v>
      </c>
      <c r="E23">
        <f>8-1</f>
        <v>7</v>
      </c>
      <c r="F23">
        <f>27-9</f>
        <v>18</v>
      </c>
      <c r="H23" s="10">
        <v>1</v>
      </c>
      <c r="I23">
        <f>B23*2</f>
        <v>20</v>
      </c>
      <c r="J23">
        <f t="shared" ref="J23:M24" si="32">C23*2</f>
        <v>14</v>
      </c>
      <c r="K23">
        <f t="shared" si="32"/>
        <v>10</v>
      </c>
      <c r="L23">
        <f t="shared" si="32"/>
        <v>14</v>
      </c>
      <c r="M23">
        <f t="shared" si="32"/>
        <v>36</v>
      </c>
      <c r="O23" s="10">
        <v>1</v>
      </c>
      <c r="P23">
        <f t="shared" ref="P23:P29" si="33">I23/$I$7</f>
        <v>0.18181818181818182</v>
      </c>
      <c r="Q23">
        <f t="shared" ref="Q23:Q29" si="34">J23/$J$7</f>
        <v>9.3333333333333338E-2</v>
      </c>
      <c r="R23">
        <f t="shared" ref="R23:R29" si="35">K23/$K$7</f>
        <v>7.2463768115942032E-2</v>
      </c>
      <c r="S23">
        <f t="shared" ref="S23:S29" si="36">L23/$L$7</f>
        <v>9.45945945945946E-2</v>
      </c>
      <c r="T23">
        <f t="shared" ref="T23:T29" si="37">M23/$M$7</f>
        <v>0.41860465116279072</v>
      </c>
      <c r="U23">
        <f t="shared" si="17"/>
        <v>0.17216290580496851</v>
      </c>
      <c r="V23">
        <f t="shared" si="31"/>
        <v>6.4419570266312176E-2</v>
      </c>
      <c r="X23" t="s">
        <v>4</v>
      </c>
      <c r="Y23" t="s">
        <v>5</v>
      </c>
      <c r="Z23" t="s">
        <v>6</v>
      </c>
      <c r="AA23" t="s">
        <v>7</v>
      </c>
      <c r="AB23" t="s">
        <v>8</v>
      </c>
      <c r="AD23" s="10">
        <v>1</v>
      </c>
      <c r="AE23">
        <f t="shared" ref="AE23:AI29" si="38">I23*$AI$21</f>
        <v>27.703275840682153</v>
      </c>
      <c r="AF23">
        <f t="shared" si="38"/>
        <v>19.392293088477505</v>
      </c>
      <c r="AG23">
        <f t="shared" si="38"/>
        <v>13.851637920341076</v>
      </c>
      <c r="AH23">
        <f t="shared" si="38"/>
        <v>19.392293088477505</v>
      </c>
      <c r="AI23">
        <f t="shared" si="38"/>
        <v>49.865896513227874</v>
      </c>
      <c r="AK23" s="10">
        <v>1</v>
      </c>
      <c r="AL23">
        <f t="shared" ref="AL23:AP29" si="39">AE23/AE$27</f>
        <v>0.24390243902439024</v>
      </c>
      <c r="AM23">
        <f t="shared" si="39"/>
        <v>9.8591549295774641E-2</v>
      </c>
      <c r="AN23">
        <f t="shared" si="39"/>
        <v>7.9365079365079375E-2</v>
      </c>
      <c r="AO23">
        <f t="shared" si="39"/>
        <v>8.8607594936708861E-2</v>
      </c>
      <c r="AP23">
        <f t="shared" si="39"/>
        <v>0.81818181818181823</v>
      </c>
      <c r="AQ23">
        <f>AVERAGE(AL23:AP23)</f>
        <v>0.26572969616075426</v>
      </c>
      <c r="AR23">
        <f t="shared" ref="AR23:AR29" si="40">STDEV(AL23:AP23)/SQRT(5)</f>
        <v>0.14137166363040238</v>
      </c>
      <c r="AT23" t="s">
        <v>9</v>
      </c>
      <c r="AU23" s="2">
        <v>1.038</v>
      </c>
      <c r="AV23" s="2">
        <v>0.1472</v>
      </c>
      <c r="AW23" s="2">
        <v>14.18</v>
      </c>
      <c r="AX23">
        <v>0.78576420000000002</v>
      </c>
    </row>
    <row r="24" spans="1:50" x14ac:dyDescent="0.3">
      <c r="A24" s="10">
        <v>5</v>
      </c>
      <c r="B24">
        <f>20-2</f>
        <v>18</v>
      </c>
      <c r="C24">
        <f>10-4</f>
        <v>6</v>
      </c>
      <c r="D24">
        <f>21-2</f>
        <v>19</v>
      </c>
      <c r="E24">
        <f>29-1</f>
        <v>28</v>
      </c>
      <c r="F24">
        <f>25-10</f>
        <v>15</v>
      </c>
      <c r="H24" s="10">
        <v>5</v>
      </c>
      <c r="I24">
        <f t="shared" ref="I24" si="41">B24*2</f>
        <v>36</v>
      </c>
      <c r="J24">
        <f t="shared" si="32"/>
        <v>12</v>
      </c>
      <c r="K24">
        <f t="shared" si="32"/>
        <v>38</v>
      </c>
      <c r="L24">
        <f t="shared" ref="L24:M29" si="42">E24*2</f>
        <v>56</v>
      </c>
      <c r="M24">
        <f t="shared" si="42"/>
        <v>30</v>
      </c>
      <c r="O24" s="10">
        <v>5</v>
      </c>
      <c r="P24">
        <f t="shared" si="33"/>
        <v>0.32727272727272727</v>
      </c>
      <c r="Q24">
        <f t="shared" si="34"/>
        <v>0.08</v>
      </c>
      <c r="R24">
        <f t="shared" si="35"/>
        <v>0.27536231884057971</v>
      </c>
      <c r="S24">
        <f t="shared" si="36"/>
        <v>0.3783783783783784</v>
      </c>
      <c r="T24">
        <f t="shared" si="37"/>
        <v>0.34883720930232559</v>
      </c>
      <c r="U24">
        <f t="shared" ref="U24:U29" si="43">AVERAGE(P24:T24)</f>
        <v>0.28197012675880218</v>
      </c>
      <c r="V24">
        <f t="shared" si="31"/>
        <v>5.3222964287044823E-2</v>
      </c>
      <c r="X24" t="s">
        <v>9</v>
      </c>
      <c r="Y24" s="2">
        <v>0.85919999999999996</v>
      </c>
      <c r="Z24" s="2">
        <v>9.6600000000000005E-2</v>
      </c>
      <c r="AA24" s="2">
        <v>11.24</v>
      </c>
      <c r="AB24">
        <v>0.76015469999999996</v>
      </c>
      <c r="AD24" s="10">
        <v>5</v>
      </c>
      <c r="AE24">
        <f t="shared" si="38"/>
        <v>49.865896513227874</v>
      </c>
      <c r="AF24">
        <f t="shared" si="38"/>
        <v>16.621965504409289</v>
      </c>
      <c r="AG24">
        <f t="shared" si="38"/>
        <v>52.636224097296086</v>
      </c>
      <c r="AH24">
        <f t="shared" si="38"/>
        <v>77.56917235391002</v>
      </c>
      <c r="AI24">
        <f t="shared" si="38"/>
        <v>41.554913761023229</v>
      </c>
      <c r="AK24" s="10">
        <v>5</v>
      </c>
      <c r="AL24">
        <f t="shared" si="39"/>
        <v>0.43902439024390244</v>
      </c>
      <c r="AM24">
        <f t="shared" si="39"/>
        <v>8.4507042253521111E-2</v>
      </c>
      <c r="AN24">
        <f t="shared" si="39"/>
        <v>0.30158730158730157</v>
      </c>
      <c r="AO24">
        <f t="shared" si="39"/>
        <v>0.35443037974683544</v>
      </c>
      <c r="AP24">
        <f t="shared" si="39"/>
        <v>0.68181818181818188</v>
      </c>
      <c r="AQ24">
        <f>AVERAGE(AL24:AN24)</f>
        <v>0.27503957802824169</v>
      </c>
      <c r="AR24">
        <f t="shared" si="40"/>
        <v>9.7056179911592724E-2</v>
      </c>
      <c r="AT24" t="s">
        <v>10</v>
      </c>
      <c r="AU24" s="2">
        <v>1.157</v>
      </c>
      <c r="AV24" s="2">
        <v>0.55710000000000004</v>
      </c>
      <c r="AW24" s="2">
        <v>48.15</v>
      </c>
      <c r="AX24">
        <v>0.61659529999999996</v>
      </c>
    </row>
    <row r="25" spans="1:50" x14ac:dyDescent="0.3">
      <c r="A25" s="10">
        <v>10</v>
      </c>
      <c r="B25">
        <f>30-1</f>
        <v>29</v>
      </c>
      <c r="C25">
        <f>19-0</f>
        <v>19</v>
      </c>
      <c r="D25">
        <f>29-2</f>
        <v>27</v>
      </c>
      <c r="E25">
        <f>37-3</f>
        <v>34</v>
      </c>
      <c r="F25">
        <f>25-7</f>
        <v>18</v>
      </c>
      <c r="H25" s="10">
        <v>10</v>
      </c>
      <c r="I25">
        <f t="shared" ref="I25:K29" si="44">B25*2</f>
        <v>58</v>
      </c>
      <c r="J25">
        <f t="shared" si="44"/>
        <v>38</v>
      </c>
      <c r="K25">
        <f t="shared" si="44"/>
        <v>54</v>
      </c>
      <c r="L25">
        <f t="shared" si="42"/>
        <v>68</v>
      </c>
      <c r="M25">
        <f t="shared" si="42"/>
        <v>36</v>
      </c>
      <c r="O25" s="10">
        <v>10</v>
      </c>
      <c r="P25">
        <f t="shared" si="33"/>
        <v>0.52727272727272723</v>
      </c>
      <c r="Q25">
        <f t="shared" si="34"/>
        <v>0.25333333333333335</v>
      </c>
      <c r="R25">
        <f t="shared" si="35"/>
        <v>0.39130434782608697</v>
      </c>
      <c r="S25">
        <f t="shared" si="36"/>
        <v>0.45945945945945948</v>
      </c>
      <c r="T25">
        <f t="shared" si="37"/>
        <v>0.41860465116279072</v>
      </c>
      <c r="U25">
        <f t="shared" si="43"/>
        <v>0.4099949038108795</v>
      </c>
      <c r="V25">
        <f t="shared" si="31"/>
        <v>4.5369120797319598E-2</v>
      </c>
      <c r="X25" t="s">
        <v>10</v>
      </c>
      <c r="Y25" s="2">
        <v>1.2110000000000001</v>
      </c>
      <c r="Z25" s="2">
        <v>0.49120000000000003</v>
      </c>
      <c r="AA25" s="2">
        <v>40.57</v>
      </c>
      <c r="AB25">
        <v>0.59083229999999998</v>
      </c>
      <c r="AD25" s="10">
        <v>10</v>
      </c>
      <c r="AE25">
        <f t="shared" si="38"/>
        <v>80.339499937978232</v>
      </c>
      <c r="AF25">
        <f t="shared" si="38"/>
        <v>52.636224097296086</v>
      </c>
      <c r="AG25">
        <f t="shared" si="38"/>
        <v>74.798844769841807</v>
      </c>
      <c r="AH25">
        <f t="shared" si="38"/>
        <v>94.191137858319308</v>
      </c>
      <c r="AI25">
        <f t="shared" si="38"/>
        <v>49.865896513227874</v>
      </c>
      <c r="AK25" s="10">
        <v>10</v>
      </c>
      <c r="AL25">
        <f t="shared" si="39"/>
        <v>0.70731707317073167</v>
      </c>
      <c r="AM25">
        <f t="shared" si="39"/>
        <v>0.26760563380281688</v>
      </c>
      <c r="AN25">
        <f t="shared" si="39"/>
        <v>0.42857142857142855</v>
      </c>
      <c r="AO25">
        <f t="shared" si="39"/>
        <v>0.43037974683544306</v>
      </c>
      <c r="AP25">
        <f t="shared" si="39"/>
        <v>0.81818181818181823</v>
      </c>
      <c r="AQ25">
        <f>AVERAGE(AL25:AP25)</f>
        <v>0.53041114011244761</v>
      </c>
      <c r="AR25">
        <f t="shared" si="40"/>
        <v>0.10088409511466259</v>
      </c>
      <c r="AT25" t="s">
        <v>11</v>
      </c>
      <c r="AU25" s="2">
        <v>8.4649999999999999</v>
      </c>
      <c r="AV25" s="2">
        <v>3.601</v>
      </c>
      <c r="AW25" s="2">
        <v>42.53</v>
      </c>
      <c r="AX25">
        <v>0.60058500000000004</v>
      </c>
    </row>
    <row r="26" spans="1:50" x14ac:dyDescent="0.3">
      <c r="A26" s="1">
        <v>25</v>
      </c>
      <c r="B26">
        <f>40-3</f>
        <v>37</v>
      </c>
      <c r="C26">
        <f>52-7</f>
        <v>45</v>
      </c>
      <c r="D26">
        <f>66-2</f>
        <v>64</v>
      </c>
      <c r="E26">
        <f>83-1</f>
        <v>82</v>
      </c>
      <c r="F26">
        <f>26-9</f>
        <v>17</v>
      </c>
      <c r="H26" s="1">
        <v>25</v>
      </c>
      <c r="I26">
        <f t="shared" si="44"/>
        <v>74</v>
      </c>
      <c r="J26">
        <f t="shared" si="44"/>
        <v>90</v>
      </c>
      <c r="K26">
        <f t="shared" si="44"/>
        <v>128</v>
      </c>
      <c r="L26">
        <f t="shared" si="42"/>
        <v>164</v>
      </c>
      <c r="M26">
        <f t="shared" si="42"/>
        <v>34</v>
      </c>
      <c r="O26" s="1">
        <v>25</v>
      </c>
      <c r="P26">
        <f t="shared" si="33"/>
        <v>0.67272727272727273</v>
      </c>
      <c r="Q26">
        <f t="shared" si="34"/>
        <v>0.6</v>
      </c>
      <c r="R26">
        <f t="shared" si="35"/>
        <v>0.92753623188405798</v>
      </c>
      <c r="S26">
        <f t="shared" si="36"/>
        <v>1.1081081081081081</v>
      </c>
      <c r="T26">
        <f t="shared" si="37"/>
        <v>0.39534883720930231</v>
      </c>
      <c r="U26">
        <f t="shared" si="43"/>
        <v>0.74074408998574826</v>
      </c>
      <c r="V26">
        <f>STDEV(P26:T26)/SQRT(5)</f>
        <v>0.12521595206329714</v>
      </c>
      <c r="X26" t="s">
        <v>11</v>
      </c>
      <c r="Y26" s="2">
        <v>8.2810000000000006</v>
      </c>
      <c r="Z26" s="2">
        <v>2.7749999999999999</v>
      </c>
      <c r="AA26" s="2">
        <v>33.51</v>
      </c>
      <c r="AB26">
        <v>0.55903650000000005</v>
      </c>
      <c r="AD26" s="1">
        <v>25</v>
      </c>
      <c r="AE26">
        <f t="shared" si="38"/>
        <v>102.50212061052396</v>
      </c>
      <c r="AF26">
        <f t="shared" si="38"/>
        <v>124.66474128306967</v>
      </c>
      <c r="AG26">
        <f t="shared" si="38"/>
        <v>177.30096538036577</v>
      </c>
      <c r="AH26">
        <f t="shared" si="38"/>
        <v>227.16686189359365</v>
      </c>
      <c r="AI26">
        <f t="shared" si="38"/>
        <v>47.095568929159654</v>
      </c>
      <c r="AK26" s="1">
        <v>25</v>
      </c>
      <c r="AL26">
        <f t="shared" si="39"/>
        <v>0.90243902439024393</v>
      </c>
      <c r="AM26">
        <f t="shared" si="39"/>
        <v>0.63380281690140838</v>
      </c>
      <c r="AN26">
        <f t="shared" si="39"/>
        <v>1.0158730158730158</v>
      </c>
      <c r="AO26">
        <f t="shared" si="39"/>
        <v>1.037974683544304</v>
      </c>
      <c r="AP26">
        <f t="shared" si="39"/>
        <v>0.77272727272727271</v>
      </c>
      <c r="AQ26">
        <f>AVERAGE(AL26:AP26)</f>
        <v>0.87256336268724899</v>
      </c>
      <c r="AR26">
        <f t="shared" si="40"/>
        <v>7.6080536278518907E-2</v>
      </c>
      <c r="AS26" s="11"/>
    </row>
    <row r="27" spans="1:50" x14ac:dyDescent="0.3">
      <c r="A27" s="3">
        <v>50</v>
      </c>
      <c r="B27">
        <f>42-1</f>
        <v>41</v>
      </c>
      <c r="C27">
        <f>71-0</f>
        <v>71</v>
      </c>
      <c r="D27">
        <f>66-3</f>
        <v>63</v>
      </c>
      <c r="E27">
        <f>80-1</f>
        <v>79</v>
      </c>
      <c r="F27">
        <f>24-2</f>
        <v>22</v>
      </c>
      <c r="H27" s="3">
        <v>50</v>
      </c>
      <c r="I27">
        <f t="shared" si="44"/>
        <v>82</v>
      </c>
      <c r="J27">
        <f t="shared" si="44"/>
        <v>142</v>
      </c>
      <c r="K27">
        <f t="shared" si="44"/>
        <v>126</v>
      </c>
      <c r="L27">
        <f t="shared" si="42"/>
        <v>158</v>
      </c>
      <c r="M27">
        <f t="shared" si="42"/>
        <v>44</v>
      </c>
      <c r="O27" s="3">
        <v>50</v>
      </c>
      <c r="P27">
        <f t="shared" si="33"/>
        <v>0.74545454545454548</v>
      </c>
      <c r="Q27">
        <f t="shared" si="34"/>
        <v>0.94666666666666666</v>
      </c>
      <c r="R27">
        <f t="shared" si="35"/>
        <v>0.91304347826086951</v>
      </c>
      <c r="S27">
        <f t="shared" si="36"/>
        <v>1.0675675675675675</v>
      </c>
      <c r="T27">
        <f t="shared" si="37"/>
        <v>0.51162790697674421</v>
      </c>
      <c r="U27">
        <f t="shared" si="43"/>
        <v>0.83687203298527868</v>
      </c>
      <c r="V27">
        <f t="shared" si="31"/>
        <v>9.6233642471408365E-2</v>
      </c>
      <c r="W27" s="11"/>
      <c r="AD27" s="3">
        <v>50</v>
      </c>
      <c r="AE27">
        <f t="shared" si="38"/>
        <v>113.58343094679682</v>
      </c>
      <c r="AF27">
        <f t="shared" si="38"/>
        <v>196.69325846884328</v>
      </c>
      <c r="AG27">
        <f t="shared" si="38"/>
        <v>174.53063779629755</v>
      </c>
      <c r="AH27">
        <f t="shared" si="38"/>
        <v>218.85587914138898</v>
      </c>
      <c r="AI27">
        <f t="shared" si="38"/>
        <v>60.947206849500731</v>
      </c>
      <c r="AK27" s="3">
        <v>50</v>
      </c>
      <c r="AL27">
        <f t="shared" si="39"/>
        <v>1</v>
      </c>
      <c r="AM27">
        <f t="shared" si="39"/>
        <v>1</v>
      </c>
      <c r="AN27">
        <f t="shared" si="39"/>
        <v>1</v>
      </c>
      <c r="AO27">
        <f t="shared" si="39"/>
        <v>1</v>
      </c>
      <c r="AP27">
        <f t="shared" si="39"/>
        <v>1</v>
      </c>
      <c r="AQ27">
        <f>AVERAGE(AL27:AP27)</f>
        <v>1</v>
      </c>
      <c r="AR27">
        <f t="shared" si="40"/>
        <v>0</v>
      </c>
      <c r="AS27" s="11"/>
    </row>
    <row r="28" spans="1:50" x14ac:dyDescent="0.3">
      <c r="A28" s="10">
        <v>100</v>
      </c>
      <c r="B28">
        <f>41-2</f>
        <v>39</v>
      </c>
      <c r="C28">
        <f>70-0</f>
        <v>70</v>
      </c>
      <c r="D28">
        <f>78-1</f>
        <v>77</v>
      </c>
      <c r="E28">
        <f>67-1</f>
        <v>66</v>
      </c>
      <c r="F28">
        <f>25-2</f>
        <v>23</v>
      </c>
      <c r="H28" s="10">
        <v>100</v>
      </c>
      <c r="I28">
        <f t="shared" si="44"/>
        <v>78</v>
      </c>
      <c r="J28">
        <f t="shared" si="44"/>
        <v>140</v>
      </c>
      <c r="K28">
        <f t="shared" si="44"/>
        <v>154</v>
      </c>
      <c r="L28">
        <f t="shared" si="42"/>
        <v>132</v>
      </c>
      <c r="M28">
        <f t="shared" si="42"/>
        <v>46</v>
      </c>
      <c r="O28" s="10">
        <v>100</v>
      </c>
      <c r="P28">
        <f t="shared" si="33"/>
        <v>0.70909090909090911</v>
      </c>
      <c r="Q28">
        <f t="shared" si="34"/>
        <v>0.93333333333333335</v>
      </c>
      <c r="R28">
        <f t="shared" si="35"/>
        <v>1.1159420289855073</v>
      </c>
      <c r="S28">
        <f t="shared" si="36"/>
        <v>0.89189189189189189</v>
      </c>
      <c r="T28">
        <f t="shared" si="37"/>
        <v>0.53488372093023251</v>
      </c>
      <c r="U28">
        <f t="shared" si="43"/>
        <v>0.83702837684637488</v>
      </c>
      <c r="V28">
        <f t="shared" si="31"/>
        <v>9.9432606329880185E-2</v>
      </c>
      <c r="W28" s="11"/>
      <c r="AD28" s="10">
        <v>100</v>
      </c>
      <c r="AE28">
        <f t="shared" si="38"/>
        <v>108.04277577866038</v>
      </c>
      <c r="AF28">
        <f t="shared" si="38"/>
        <v>193.92293088477507</v>
      </c>
      <c r="AG28">
        <f t="shared" si="38"/>
        <v>213.31522397325256</v>
      </c>
      <c r="AH28">
        <f t="shared" si="38"/>
        <v>182.84162054850219</v>
      </c>
      <c r="AI28">
        <f t="shared" si="38"/>
        <v>63.71753443356895</v>
      </c>
      <c r="AK28" s="10">
        <v>100</v>
      </c>
      <c r="AL28">
        <f t="shared" si="39"/>
        <v>0.95121951219512191</v>
      </c>
      <c r="AM28">
        <f t="shared" si="39"/>
        <v>0.9859154929577465</v>
      </c>
      <c r="AN28">
        <f t="shared" si="39"/>
        <v>1.2222222222222221</v>
      </c>
      <c r="AO28">
        <f t="shared" si="39"/>
        <v>0.83544303797468356</v>
      </c>
      <c r="AP28">
        <f t="shared" si="39"/>
        <v>1.0454545454545456</v>
      </c>
      <c r="AQ28">
        <f>AVERAGE(AL28:AP28)</f>
        <v>1.008050962160864</v>
      </c>
      <c r="AR28">
        <f t="shared" si="40"/>
        <v>6.3553774425045062E-2</v>
      </c>
    </row>
    <row r="29" spans="1:50" x14ac:dyDescent="0.3">
      <c r="A29" s="10">
        <v>150</v>
      </c>
      <c r="B29">
        <f>38-2</f>
        <v>36</v>
      </c>
      <c r="C29">
        <f>63-0</f>
        <v>63</v>
      </c>
      <c r="D29">
        <f>74-1</f>
        <v>73</v>
      </c>
      <c r="E29">
        <f>58-2</f>
        <v>56</v>
      </c>
      <c r="F29">
        <f>22-4</f>
        <v>18</v>
      </c>
      <c r="H29" s="10">
        <v>150</v>
      </c>
      <c r="I29">
        <f t="shared" si="44"/>
        <v>72</v>
      </c>
      <c r="J29">
        <f t="shared" si="44"/>
        <v>126</v>
      </c>
      <c r="K29">
        <f t="shared" si="44"/>
        <v>146</v>
      </c>
      <c r="L29">
        <f t="shared" si="42"/>
        <v>112</v>
      </c>
      <c r="M29">
        <f t="shared" si="42"/>
        <v>36</v>
      </c>
      <c r="O29" s="10">
        <v>150</v>
      </c>
      <c r="P29">
        <f t="shared" si="33"/>
        <v>0.65454545454545454</v>
      </c>
      <c r="Q29">
        <f t="shared" si="34"/>
        <v>0.84</v>
      </c>
      <c r="R29">
        <f t="shared" si="35"/>
        <v>1.0579710144927537</v>
      </c>
      <c r="S29">
        <f t="shared" si="36"/>
        <v>0.7567567567567568</v>
      </c>
      <c r="T29">
        <f t="shared" si="37"/>
        <v>0.41860465116279072</v>
      </c>
      <c r="U29">
        <f t="shared" si="43"/>
        <v>0.74557557539155117</v>
      </c>
      <c r="V29">
        <f t="shared" si="31"/>
        <v>0.10531580350138725</v>
      </c>
      <c r="AD29" s="10">
        <v>150</v>
      </c>
      <c r="AE29">
        <f t="shared" si="38"/>
        <v>99.731793026455748</v>
      </c>
      <c r="AF29">
        <f t="shared" si="38"/>
        <v>174.53063779629755</v>
      </c>
      <c r="AG29">
        <f t="shared" si="38"/>
        <v>202.23391363697971</v>
      </c>
      <c r="AH29">
        <f t="shared" si="38"/>
        <v>155.13834470782004</v>
      </c>
      <c r="AI29">
        <f t="shared" si="38"/>
        <v>49.865896513227874</v>
      </c>
      <c r="AK29" s="10">
        <v>150</v>
      </c>
      <c r="AL29">
        <f t="shared" si="39"/>
        <v>0.87804878048780488</v>
      </c>
      <c r="AM29">
        <f t="shared" si="39"/>
        <v>0.88732394366197176</v>
      </c>
      <c r="AN29">
        <f t="shared" si="39"/>
        <v>1.1587301587301588</v>
      </c>
      <c r="AO29">
        <f t="shared" si="39"/>
        <v>0.70886075949367089</v>
      </c>
      <c r="AP29">
        <f t="shared" si="39"/>
        <v>0.81818181818181823</v>
      </c>
      <c r="AQ29">
        <f>AVERAGE(AL29:AP29)</f>
        <v>0.89022909211108503</v>
      </c>
      <c r="AR29">
        <f t="shared" si="40"/>
        <v>7.4274795324992371E-2</v>
      </c>
    </row>
    <row r="31" spans="1:50" x14ac:dyDescent="0.3">
      <c r="H31" s="10"/>
      <c r="O31" s="10"/>
    </row>
    <row r="32" spans="1:50" x14ac:dyDescent="0.3">
      <c r="H32" s="10"/>
      <c r="O32" s="10"/>
    </row>
    <row r="33" spans="1:15" x14ac:dyDescent="0.3">
      <c r="H33" s="10"/>
      <c r="O33" s="10"/>
    </row>
    <row r="34" spans="1:15" x14ac:dyDescent="0.3">
      <c r="H34" s="10"/>
      <c r="O34" s="10"/>
    </row>
    <row r="35" spans="1:15" x14ac:dyDescent="0.3">
      <c r="H35" s="10"/>
      <c r="O35" s="10"/>
    </row>
    <row r="36" spans="1:15" x14ac:dyDescent="0.3">
      <c r="A36" s="1"/>
      <c r="H36" s="1"/>
      <c r="O36" s="1"/>
    </row>
    <row r="37" spans="1:15" x14ac:dyDescent="0.3">
      <c r="H37" s="10"/>
      <c r="O37" s="10"/>
    </row>
    <row r="38" spans="1:15" x14ac:dyDescent="0.3">
      <c r="H38" s="10"/>
      <c r="O38" s="10"/>
    </row>
  </sheetData>
  <mergeCells count="11">
    <mergeCell ref="AK9:AR9"/>
    <mergeCell ref="AT9:AV9"/>
    <mergeCell ref="AD11:AH11"/>
    <mergeCell ref="AD21:AH21"/>
    <mergeCell ref="X1:Z1"/>
    <mergeCell ref="AD9:AI9"/>
    <mergeCell ref="A1:B1"/>
    <mergeCell ref="H1:I1"/>
    <mergeCell ref="F1:G1"/>
    <mergeCell ref="K1:L1"/>
    <mergeCell ref="O1:P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X61"/>
  <sheetViews>
    <sheetView topLeftCell="S1" zoomScale="70" zoomScaleNormal="70" workbookViewId="0">
      <selection activeCell="AP4" sqref="AP4"/>
    </sheetView>
  </sheetViews>
  <sheetFormatPr defaultRowHeight="14.4" x14ac:dyDescent="0.3"/>
  <cols>
    <col min="1" max="1" width="12.21875" style="1" customWidth="1"/>
    <col min="8" max="8" width="12.33203125" style="1" customWidth="1"/>
    <col min="15" max="15" width="12.5546875" style="1" customWidth="1"/>
    <col min="25" max="26" width="9.5546875" bestFit="1" customWidth="1"/>
    <col min="28" max="28" width="12.5546875" customWidth="1"/>
    <col min="30" max="30" width="11.88671875" customWidth="1"/>
    <col min="47" max="47" width="9.44140625" customWidth="1"/>
  </cols>
  <sheetData>
    <row r="1" spans="1:50" x14ac:dyDescent="0.3">
      <c r="A1" s="47" t="s">
        <v>28</v>
      </c>
      <c r="B1" s="47"/>
      <c r="F1" s="47"/>
      <c r="G1" s="47"/>
      <c r="H1" s="47" t="s">
        <v>21</v>
      </c>
      <c r="I1" s="47"/>
      <c r="K1" s="47"/>
      <c r="L1" s="47"/>
      <c r="O1" s="47" t="s">
        <v>22</v>
      </c>
      <c r="P1" s="47"/>
      <c r="X1" s="48" t="s">
        <v>29</v>
      </c>
      <c r="Y1" s="48"/>
      <c r="Z1" s="48"/>
    </row>
    <row r="2" spans="1:50" x14ac:dyDescent="0.3">
      <c r="A2" s="1" t="s">
        <v>12</v>
      </c>
      <c r="B2" t="s">
        <v>1</v>
      </c>
      <c r="C2" t="s">
        <v>2</v>
      </c>
      <c r="D2" t="s">
        <v>3</v>
      </c>
      <c r="E2" t="s">
        <v>24</v>
      </c>
      <c r="F2" t="s">
        <v>25</v>
      </c>
      <c r="H2" s="1" t="s">
        <v>12</v>
      </c>
      <c r="I2" t="s">
        <v>1</v>
      </c>
      <c r="J2" t="s">
        <v>2</v>
      </c>
      <c r="K2" t="s">
        <v>3</v>
      </c>
      <c r="L2" t="s">
        <v>24</v>
      </c>
      <c r="M2" t="s">
        <v>25</v>
      </c>
      <c r="O2" s="1" t="s">
        <v>12</v>
      </c>
      <c r="P2" t="s">
        <v>1</v>
      </c>
      <c r="Q2" t="s">
        <v>2</v>
      </c>
      <c r="R2" t="s">
        <v>3</v>
      </c>
      <c r="S2" t="s">
        <v>24</v>
      </c>
      <c r="T2" t="s">
        <v>25</v>
      </c>
      <c r="U2" s="1" t="s">
        <v>18</v>
      </c>
      <c r="V2" s="1" t="s">
        <v>92</v>
      </c>
    </row>
    <row r="3" spans="1:50" x14ac:dyDescent="0.3">
      <c r="A3" s="1">
        <v>1</v>
      </c>
      <c r="B3">
        <f>5-16</f>
        <v>-11</v>
      </c>
      <c r="C3">
        <f>1-6</f>
        <v>-5</v>
      </c>
      <c r="D3">
        <f>3-8</f>
        <v>-5</v>
      </c>
      <c r="E3">
        <f>3-9</f>
        <v>-6</v>
      </c>
      <c r="F3">
        <f>36-12</f>
        <v>24</v>
      </c>
      <c r="H3" s="1">
        <v>1</v>
      </c>
      <c r="I3">
        <f t="shared" ref="I3:M25" si="0">B3*2</f>
        <v>-22</v>
      </c>
      <c r="J3">
        <f t="shared" ref="J3:M9" si="1">C3*2</f>
        <v>-10</v>
      </c>
      <c r="K3">
        <f t="shared" si="1"/>
        <v>-10</v>
      </c>
      <c r="L3">
        <f t="shared" si="1"/>
        <v>-12</v>
      </c>
      <c r="M3">
        <f t="shared" si="1"/>
        <v>48</v>
      </c>
      <c r="O3" s="1">
        <v>1</v>
      </c>
      <c r="P3">
        <f t="shared" ref="P3:P25" si="2">I3/$I$8</f>
        <v>-0.15068493150684931</v>
      </c>
      <c r="Q3">
        <f t="shared" ref="Q3:Q27" si="3">J3/$J$8</f>
        <v>-4.9019607843137254E-2</v>
      </c>
      <c r="R3">
        <f t="shared" ref="R3:R27" si="4">K3/$K$8</f>
        <v>-7.575757575757576E-2</v>
      </c>
      <c r="S3">
        <f t="shared" ref="S3:S27" si="5">L3/$L$8</f>
        <v>-5.6074766355140186E-2</v>
      </c>
      <c r="T3">
        <f t="shared" ref="T3:T27" si="6">M3/$M$8</f>
        <v>0.5</v>
      </c>
      <c r="U3">
        <f>AVERAGE(P3:T3)</f>
        <v>3.3692623707459499E-2</v>
      </c>
      <c r="V3">
        <f>STDEV(P3:T3)/SQRT(5)</f>
        <v>0.11796535418954687</v>
      </c>
      <c r="X3" t="s">
        <v>20</v>
      </c>
      <c r="Y3" t="s">
        <v>5</v>
      </c>
      <c r="Z3" t="s">
        <v>6</v>
      </c>
      <c r="AA3" t="s">
        <v>7</v>
      </c>
      <c r="AB3" t="s">
        <v>8</v>
      </c>
    </row>
    <row r="4" spans="1:50" x14ac:dyDescent="0.3">
      <c r="A4" s="1">
        <v>7.5</v>
      </c>
      <c r="B4">
        <f>53-6</f>
        <v>47</v>
      </c>
      <c r="C4">
        <f>25-7</f>
        <v>18</v>
      </c>
      <c r="D4">
        <f>30-10</f>
        <v>20</v>
      </c>
      <c r="E4">
        <f>78-8</f>
        <v>70</v>
      </c>
      <c r="F4">
        <f>55-6</f>
        <v>49</v>
      </c>
      <c r="H4" s="1">
        <v>7.5</v>
      </c>
      <c r="I4">
        <f t="shared" si="0"/>
        <v>94</v>
      </c>
      <c r="J4">
        <f t="shared" si="1"/>
        <v>36</v>
      </c>
      <c r="K4">
        <f t="shared" si="1"/>
        <v>40</v>
      </c>
      <c r="L4">
        <f t="shared" si="1"/>
        <v>140</v>
      </c>
      <c r="M4">
        <f t="shared" si="1"/>
        <v>98</v>
      </c>
      <c r="O4" s="1">
        <v>7.5</v>
      </c>
      <c r="P4">
        <f t="shared" si="2"/>
        <v>0.64383561643835618</v>
      </c>
      <c r="Q4">
        <f t="shared" si="3"/>
        <v>0.17647058823529413</v>
      </c>
      <c r="R4">
        <f t="shared" si="4"/>
        <v>0.30303030303030304</v>
      </c>
      <c r="S4">
        <f t="shared" si="5"/>
        <v>0.65420560747663548</v>
      </c>
      <c r="T4">
        <f t="shared" si="6"/>
        <v>1.0208333333333333</v>
      </c>
      <c r="U4">
        <f t="shared" ref="U4:U25" si="7">AVERAGE(P4:T4)</f>
        <v>0.55967508970278446</v>
      </c>
      <c r="V4">
        <f t="shared" ref="V4:V25" si="8">STDEV(P4:T4)/SQRT(5)</f>
        <v>0.14855944520469325</v>
      </c>
      <c r="X4" t="s">
        <v>9</v>
      </c>
      <c r="Y4" s="2">
        <v>0.97950000000000004</v>
      </c>
      <c r="Z4" s="2">
        <v>0.1075</v>
      </c>
      <c r="AA4" s="2">
        <v>10.97</v>
      </c>
      <c r="AB4">
        <v>0.82113780000000003</v>
      </c>
    </row>
    <row r="5" spans="1:50" x14ac:dyDescent="0.3">
      <c r="A5" s="1">
        <v>10</v>
      </c>
      <c r="B5">
        <f>53-9</f>
        <v>44</v>
      </c>
      <c r="C5">
        <f>25-8</f>
        <v>17</v>
      </c>
      <c r="D5">
        <f>37-12</f>
        <v>25</v>
      </c>
      <c r="E5">
        <f>91-13</f>
        <v>78</v>
      </c>
      <c r="F5">
        <f>58-6</f>
        <v>52</v>
      </c>
      <c r="H5" s="1">
        <v>10</v>
      </c>
      <c r="I5">
        <f t="shared" si="0"/>
        <v>88</v>
      </c>
      <c r="J5">
        <f t="shared" si="1"/>
        <v>34</v>
      </c>
      <c r="K5">
        <f t="shared" si="1"/>
        <v>50</v>
      </c>
      <c r="L5">
        <f t="shared" si="1"/>
        <v>156</v>
      </c>
      <c r="M5">
        <f t="shared" si="1"/>
        <v>104</v>
      </c>
      <c r="O5" s="1">
        <v>10</v>
      </c>
      <c r="P5">
        <f t="shared" si="2"/>
        <v>0.60273972602739723</v>
      </c>
      <c r="Q5">
        <f t="shared" si="3"/>
        <v>0.16666666666666666</v>
      </c>
      <c r="R5">
        <f t="shared" si="4"/>
        <v>0.37878787878787878</v>
      </c>
      <c r="S5">
        <f t="shared" si="5"/>
        <v>0.7289719626168224</v>
      </c>
      <c r="T5">
        <f t="shared" si="6"/>
        <v>1.0833333333333333</v>
      </c>
      <c r="U5">
        <f t="shared" si="7"/>
        <v>0.59209991348641966</v>
      </c>
      <c r="V5">
        <f t="shared" si="8"/>
        <v>0.15598924768479802</v>
      </c>
      <c r="X5" t="s">
        <v>10</v>
      </c>
      <c r="Y5" s="2">
        <v>1.032</v>
      </c>
      <c r="Z5" s="2">
        <v>0.38179999999999997</v>
      </c>
      <c r="AA5" s="2">
        <v>37</v>
      </c>
      <c r="AB5">
        <v>0.67548299999999994</v>
      </c>
    </row>
    <row r="6" spans="1:50" x14ac:dyDescent="0.3">
      <c r="A6" s="1">
        <v>25</v>
      </c>
      <c r="B6">
        <f>54-7</f>
        <v>47</v>
      </c>
      <c r="C6">
        <f>40-10</f>
        <v>30</v>
      </c>
      <c r="D6">
        <f>62-13</f>
        <v>49</v>
      </c>
      <c r="E6">
        <f>107-11</f>
        <v>96</v>
      </c>
      <c r="F6">
        <f>37-4</f>
        <v>33</v>
      </c>
      <c r="H6" s="1">
        <v>25</v>
      </c>
      <c r="I6">
        <f t="shared" si="0"/>
        <v>94</v>
      </c>
      <c r="J6">
        <f t="shared" si="1"/>
        <v>60</v>
      </c>
      <c r="K6">
        <f t="shared" si="1"/>
        <v>98</v>
      </c>
      <c r="L6">
        <f t="shared" si="1"/>
        <v>192</v>
      </c>
      <c r="M6">
        <f t="shared" si="1"/>
        <v>66</v>
      </c>
      <c r="O6" s="1">
        <v>25</v>
      </c>
      <c r="P6">
        <f t="shared" si="2"/>
        <v>0.64383561643835618</v>
      </c>
      <c r="Q6">
        <f t="shared" si="3"/>
        <v>0.29411764705882354</v>
      </c>
      <c r="R6">
        <f t="shared" si="4"/>
        <v>0.74242424242424243</v>
      </c>
      <c r="S6">
        <f t="shared" si="5"/>
        <v>0.89719626168224298</v>
      </c>
      <c r="T6">
        <f t="shared" si="6"/>
        <v>0.6875</v>
      </c>
      <c r="U6">
        <f t="shared" si="7"/>
        <v>0.65301475352073302</v>
      </c>
      <c r="V6">
        <f t="shared" si="8"/>
        <v>9.9423158128038772E-2</v>
      </c>
      <c r="X6" t="s">
        <v>11</v>
      </c>
      <c r="Y6" s="5">
        <v>7.4950000000000001</v>
      </c>
      <c r="Z6" s="5">
        <v>2.48</v>
      </c>
      <c r="AA6" s="2">
        <v>33.1</v>
      </c>
      <c r="AB6">
        <v>0.61377669999999995</v>
      </c>
    </row>
    <row r="7" spans="1:50" x14ac:dyDescent="0.3">
      <c r="A7" s="1">
        <v>50</v>
      </c>
      <c r="B7">
        <f>71-8</f>
        <v>63</v>
      </c>
      <c r="C7">
        <f>60-9</f>
        <v>51</v>
      </c>
      <c r="D7">
        <f>77-10</f>
        <v>67</v>
      </c>
      <c r="E7">
        <f>96-12</f>
        <v>84</v>
      </c>
      <c r="F7">
        <f>54-7</f>
        <v>47</v>
      </c>
      <c r="H7" s="1">
        <v>50</v>
      </c>
      <c r="I7">
        <f t="shared" si="0"/>
        <v>126</v>
      </c>
      <c r="J7">
        <f t="shared" si="1"/>
        <v>102</v>
      </c>
      <c r="K7">
        <f t="shared" si="1"/>
        <v>134</v>
      </c>
      <c r="L7">
        <f t="shared" si="1"/>
        <v>168</v>
      </c>
      <c r="M7">
        <f t="shared" si="1"/>
        <v>94</v>
      </c>
      <c r="O7" s="1">
        <v>50</v>
      </c>
      <c r="P7">
        <f t="shared" si="2"/>
        <v>0.86301369863013699</v>
      </c>
      <c r="Q7">
        <f t="shared" si="3"/>
        <v>0.5</v>
      </c>
      <c r="R7">
        <f t="shared" si="4"/>
        <v>1.0151515151515151</v>
      </c>
      <c r="S7">
        <f t="shared" si="5"/>
        <v>0.78504672897196259</v>
      </c>
      <c r="T7">
        <f t="shared" si="6"/>
        <v>0.97916666666666663</v>
      </c>
      <c r="U7">
        <f t="shared" si="7"/>
        <v>0.82847572188405627</v>
      </c>
      <c r="V7">
        <f t="shared" si="8"/>
        <v>9.1796204105026813E-2</v>
      </c>
    </row>
    <row r="8" spans="1:50" x14ac:dyDescent="0.3">
      <c r="A8" s="1">
        <v>100</v>
      </c>
      <c r="B8">
        <f>80-7</f>
        <v>73</v>
      </c>
      <c r="C8">
        <f>110-8</f>
        <v>102</v>
      </c>
      <c r="D8">
        <f>78-12</f>
        <v>66</v>
      </c>
      <c r="E8">
        <f>111-4</f>
        <v>107</v>
      </c>
      <c r="F8">
        <f>53-5</f>
        <v>48</v>
      </c>
      <c r="H8" s="1">
        <v>100</v>
      </c>
      <c r="I8">
        <f t="shared" si="0"/>
        <v>146</v>
      </c>
      <c r="J8">
        <f t="shared" si="1"/>
        <v>204</v>
      </c>
      <c r="K8">
        <f t="shared" si="1"/>
        <v>132</v>
      </c>
      <c r="L8">
        <f t="shared" si="1"/>
        <v>214</v>
      </c>
      <c r="M8">
        <f t="shared" si="1"/>
        <v>96</v>
      </c>
      <c r="O8" s="3">
        <v>100</v>
      </c>
      <c r="P8">
        <f t="shared" si="2"/>
        <v>1</v>
      </c>
      <c r="Q8">
        <f t="shared" si="3"/>
        <v>1</v>
      </c>
      <c r="R8">
        <f t="shared" si="4"/>
        <v>1</v>
      </c>
      <c r="S8">
        <f t="shared" si="5"/>
        <v>1</v>
      </c>
      <c r="T8">
        <f t="shared" si="6"/>
        <v>1</v>
      </c>
      <c r="U8">
        <f t="shared" si="7"/>
        <v>1</v>
      </c>
      <c r="V8">
        <f>STDEV(P8:T8)/SQRT(5)</f>
        <v>0</v>
      </c>
      <c r="AD8" s="48" t="s">
        <v>94</v>
      </c>
      <c r="AE8" s="48"/>
      <c r="AF8" s="48"/>
      <c r="AG8" s="48"/>
      <c r="AH8" s="48"/>
      <c r="AI8" s="48"/>
      <c r="AK8" s="48" t="s">
        <v>95</v>
      </c>
      <c r="AL8" s="48"/>
      <c r="AM8" s="48"/>
      <c r="AN8" s="48"/>
      <c r="AO8" s="48"/>
      <c r="AP8" s="48"/>
      <c r="AQ8" s="48"/>
      <c r="AR8" s="48"/>
      <c r="AT8" s="48" t="s">
        <v>29</v>
      </c>
      <c r="AU8" s="48"/>
      <c r="AV8" s="48"/>
    </row>
    <row r="9" spans="1:50" x14ac:dyDescent="0.3">
      <c r="A9" s="1">
        <v>150</v>
      </c>
      <c r="B9">
        <f>80-8</f>
        <v>72</v>
      </c>
      <c r="C9">
        <f>85-8</f>
        <v>77</v>
      </c>
      <c r="D9">
        <f>83-11</f>
        <v>72</v>
      </c>
      <c r="E9">
        <f>92-8</f>
        <v>84</v>
      </c>
      <c r="F9">
        <f>54-6</f>
        <v>48</v>
      </c>
      <c r="H9" s="1">
        <v>150</v>
      </c>
      <c r="I9">
        <f t="shared" si="0"/>
        <v>144</v>
      </c>
      <c r="J9">
        <f t="shared" si="1"/>
        <v>154</v>
      </c>
      <c r="K9">
        <f t="shared" si="1"/>
        <v>144</v>
      </c>
      <c r="L9">
        <f t="shared" si="1"/>
        <v>168</v>
      </c>
      <c r="M9">
        <f t="shared" si="1"/>
        <v>96</v>
      </c>
      <c r="O9" s="1">
        <v>150</v>
      </c>
      <c r="P9">
        <f t="shared" si="2"/>
        <v>0.98630136986301364</v>
      </c>
      <c r="Q9">
        <f t="shared" si="3"/>
        <v>0.75490196078431371</v>
      </c>
      <c r="R9">
        <f t="shared" si="4"/>
        <v>1.0909090909090908</v>
      </c>
      <c r="S9">
        <f t="shared" si="5"/>
        <v>0.78504672897196259</v>
      </c>
      <c r="T9">
        <f t="shared" si="6"/>
        <v>1</v>
      </c>
      <c r="U9">
        <f t="shared" si="7"/>
        <v>0.9234318301056762</v>
      </c>
      <c r="V9">
        <f t="shared" si="8"/>
        <v>6.5351606570054843E-2</v>
      </c>
    </row>
    <row r="10" spans="1:50" x14ac:dyDescent="0.3">
      <c r="AD10" s="48" t="s">
        <v>93</v>
      </c>
      <c r="AE10" s="48"/>
      <c r="AF10" s="48"/>
      <c r="AG10" s="48"/>
      <c r="AH10" s="48"/>
      <c r="AI10">
        <v>3.6911923225476011</v>
      </c>
      <c r="AK10" s="1"/>
    </row>
    <row r="11" spans="1:50" x14ac:dyDescent="0.3">
      <c r="A11" s="1" t="s">
        <v>0</v>
      </c>
      <c r="B11" t="s">
        <v>1</v>
      </c>
      <c r="C11" t="s">
        <v>2</v>
      </c>
      <c r="D11" t="s">
        <v>3</v>
      </c>
      <c r="E11" t="s">
        <v>24</v>
      </c>
      <c r="F11" t="s">
        <v>25</v>
      </c>
      <c r="H11" s="1" t="s">
        <v>0</v>
      </c>
      <c r="I11" t="s">
        <v>1</v>
      </c>
      <c r="J11" t="s">
        <v>2</v>
      </c>
      <c r="K11" t="s">
        <v>3</v>
      </c>
      <c r="L11" t="s">
        <v>24</v>
      </c>
      <c r="M11" t="s">
        <v>25</v>
      </c>
      <c r="O11" s="1" t="s">
        <v>0</v>
      </c>
      <c r="P11" t="s">
        <v>1</v>
      </c>
      <c r="Q11" t="s">
        <v>2</v>
      </c>
      <c r="R11" t="s">
        <v>3</v>
      </c>
      <c r="S11" t="s">
        <v>24</v>
      </c>
      <c r="T11" t="s">
        <v>25</v>
      </c>
      <c r="U11" s="1" t="s">
        <v>18</v>
      </c>
      <c r="V11" s="1" t="s">
        <v>92</v>
      </c>
      <c r="X11" t="s">
        <v>20</v>
      </c>
      <c r="Y11" t="s">
        <v>5</v>
      </c>
      <c r="Z11" t="s">
        <v>6</v>
      </c>
      <c r="AA11" t="s">
        <v>7</v>
      </c>
      <c r="AB11" t="s">
        <v>8</v>
      </c>
      <c r="AD11" s="1" t="s">
        <v>0</v>
      </c>
      <c r="AE11" t="s">
        <v>1</v>
      </c>
      <c r="AF11" t="s">
        <v>2</v>
      </c>
      <c r="AG11" t="s">
        <v>3</v>
      </c>
      <c r="AH11" t="s">
        <v>24</v>
      </c>
      <c r="AI11" t="s">
        <v>25</v>
      </c>
      <c r="AK11" s="1" t="s">
        <v>0</v>
      </c>
      <c r="AL11" t="s">
        <v>1</v>
      </c>
      <c r="AM11" t="s">
        <v>2</v>
      </c>
      <c r="AN11" t="s">
        <v>3</v>
      </c>
      <c r="AO11" t="s">
        <v>24</v>
      </c>
      <c r="AP11" t="s">
        <v>25</v>
      </c>
      <c r="AQ11" s="1" t="s">
        <v>18</v>
      </c>
      <c r="AR11" s="1" t="s">
        <v>92</v>
      </c>
      <c r="AT11" t="s">
        <v>20</v>
      </c>
      <c r="AU11" t="s">
        <v>5</v>
      </c>
      <c r="AV11" t="s">
        <v>6</v>
      </c>
      <c r="AW11" t="s">
        <v>7</v>
      </c>
      <c r="AX11" t="s">
        <v>8</v>
      </c>
    </row>
    <row r="12" spans="1:50" x14ac:dyDescent="0.3">
      <c r="A12" s="1">
        <v>1</v>
      </c>
      <c r="B12">
        <f>36-14</f>
        <v>22</v>
      </c>
      <c r="C12">
        <f>29-12</f>
        <v>17</v>
      </c>
      <c r="D12">
        <f>39-6</f>
        <v>33</v>
      </c>
      <c r="E12">
        <f>32-16</f>
        <v>16</v>
      </c>
      <c r="F12">
        <f>35-10</f>
        <v>25</v>
      </c>
      <c r="H12" s="1">
        <v>1</v>
      </c>
      <c r="I12">
        <f t="shared" ref="I12:M14" si="9">B12*2</f>
        <v>44</v>
      </c>
      <c r="J12">
        <f t="shared" si="9"/>
        <v>34</v>
      </c>
      <c r="K12">
        <f t="shared" si="9"/>
        <v>66</v>
      </c>
      <c r="L12">
        <f t="shared" si="9"/>
        <v>32</v>
      </c>
      <c r="M12">
        <f t="shared" si="9"/>
        <v>50</v>
      </c>
      <c r="O12" s="1">
        <v>1</v>
      </c>
      <c r="P12">
        <f>I12/$I$8</f>
        <v>0.30136986301369861</v>
      </c>
      <c r="Q12">
        <f t="shared" ref="Q12:Q18" si="10">J12/$J$8</f>
        <v>0.16666666666666666</v>
      </c>
      <c r="R12">
        <f t="shared" ref="R12:R18" si="11">K12/$K$8</f>
        <v>0.5</v>
      </c>
      <c r="S12">
        <f t="shared" ref="S12:S18" si="12">L12/$L$8</f>
        <v>0.14953271028037382</v>
      </c>
      <c r="T12">
        <f>M12/$M$8</f>
        <v>0.52083333333333337</v>
      </c>
      <c r="U12">
        <f t="shared" si="7"/>
        <v>0.32768051465881448</v>
      </c>
      <c r="V12">
        <f t="shared" si="8"/>
        <v>7.9169554195489475E-2</v>
      </c>
      <c r="X12" t="s">
        <v>9</v>
      </c>
      <c r="Y12" s="2">
        <v>1.0449999999999999</v>
      </c>
      <c r="Z12" s="2">
        <v>5.6959999999999997E-2</v>
      </c>
      <c r="AA12" s="2">
        <v>5.452</v>
      </c>
      <c r="AB12">
        <v>0.52657989999999999</v>
      </c>
      <c r="AD12" s="1">
        <v>1</v>
      </c>
      <c r="AE12">
        <f>I12*$AI$10</f>
        <v>162.41246219209444</v>
      </c>
      <c r="AF12">
        <f t="shared" ref="AF12:AI12" si="13">J12*$AI$10</f>
        <v>125.50053896661844</v>
      </c>
      <c r="AG12">
        <f t="shared" si="13"/>
        <v>243.61869328814169</v>
      </c>
      <c r="AH12">
        <f t="shared" si="13"/>
        <v>118.11815432152324</v>
      </c>
      <c r="AI12">
        <f t="shared" si="13"/>
        <v>184.55961612738005</v>
      </c>
      <c r="AK12" s="1">
        <v>1</v>
      </c>
      <c r="AL12">
        <f t="shared" ref="AL12:AO15" si="14">AE12/AE$15</f>
        <v>0.30985915492957744</v>
      </c>
      <c r="AM12">
        <f t="shared" si="14"/>
        <v>0.16831683168316833</v>
      </c>
      <c r="AN12">
        <f t="shared" si="14"/>
        <v>0.3666666666666667</v>
      </c>
      <c r="AO12">
        <f t="shared" si="14"/>
        <v>0.15238095238095239</v>
      </c>
      <c r="AP12">
        <f>AI12/AI$16</f>
        <v>0.5</v>
      </c>
      <c r="AQ12">
        <f>AVERAGE(AL12:AP12)</f>
        <v>0.29944472113207299</v>
      </c>
      <c r="AR12">
        <f>STDEV(AL12:AP12)/SQRT(5)</f>
        <v>6.4680733508973812E-2</v>
      </c>
      <c r="AT12" t="s">
        <v>9</v>
      </c>
      <c r="AU12" s="2">
        <v>0.93189999999999995</v>
      </c>
      <c r="AV12" s="2">
        <v>4.6350000000000002E-2</v>
      </c>
      <c r="AW12" s="2">
        <v>4.9740000000000002</v>
      </c>
      <c r="AX12">
        <v>0.5236305</v>
      </c>
    </row>
    <row r="13" spans="1:50" x14ac:dyDescent="0.3">
      <c r="A13" s="1">
        <v>7.5</v>
      </c>
      <c r="B13">
        <f>70-10</f>
        <v>60</v>
      </c>
      <c r="C13">
        <f>72-9</f>
        <v>63</v>
      </c>
      <c r="D13">
        <f>95-15</f>
        <v>80</v>
      </c>
      <c r="E13">
        <f>96-13</f>
        <v>83</v>
      </c>
      <c r="F13">
        <f>40-9</f>
        <v>31</v>
      </c>
      <c r="H13" s="1">
        <v>7.5</v>
      </c>
      <c r="I13">
        <f t="shared" si="9"/>
        <v>120</v>
      </c>
      <c r="J13">
        <f t="shared" si="9"/>
        <v>126</v>
      </c>
      <c r="K13">
        <f t="shared" si="9"/>
        <v>160</v>
      </c>
      <c r="L13">
        <f t="shared" si="9"/>
        <v>166</v>
      </c>
      <c r="M13">
        <f t="shared" si="9"/>
        <v>62</v>
      </c>
      <c r="O13" s="1">
        <v>7.5</v>
      </c>
      <c r="P13">
        <f>I13/$I$8</f>
        <v>0.82191780821917804</v>
      </c>
      <c r="Q13">
        <f t="shared" si="10"/>
        <v>0.61764705882352944</v>
      </c>
      <c r="R13">
        <f t="shared" si="11"/>
        <v>1.2121212121212122</v>
      </c>
      <c r="S13">
        <f t="shared" si="12"/>
        <v>0.77570093457943923</v>
      </c>
      <c r="T13">
        <f>M13/$M$8</f>
        <v>0.64583333333333337</v>
      </c>
      <c r="U13">
        <f t="shared" si="7"/>
        <v>0.8146440694153384</v>
      </c>
      <c r="V13">
        <f t="shared" si="8"/>
        <v>0.10650409400565705</v>
      </c>
      <c r="X13" t="s">
        <v>26</v>
      </c>
      <c r="Y13" s="2">
        <v>1.341</v>
      </c>
      <c r="Z13" s="2">
        <v>0.3775</v>
      </c>
      <c r="AA13" s="2">
        <v>28.15</v>
      </c>
      <c r="AB13">
        <v>0.37436140000000001</v>
      </c>
      <c r="AD13" s="1">
        <v>7.5</v>
      </c>
      <c r="AE13">
        <f t="shared" ref="AE13:AE15" si="15">I13*$AI$10</f>
        <v>442.94307870571214</v>
      </c>
      <c r="AF13">
        <f t="shared" ref="AF13:AF18" si="16">J13*$AI$10</f>
        <v>465.09023264099773</v>
      </c>
      <c r="AG13">
        <f t="shared" ref="AG13:AG18" si="17">K13*$AI$10</f>
        <v>590.59077160761615</v>
      </c>
      <c r="AH13">
        <f t="shared" ref="AH13:AH18" si="18">L13*$AI$10</f>
        <v>612.73792554290173</v>
      </c>
      <c r="AI13">
        <f t="shared" ref="AI13:AI18" si="19">M13*$AI$10</f>
        <v>228.85392399795126</v>
      </c>
      <c r="AK13" s="1">
        <v>7.5</v>
      </c>
      <c r="AL13">
        <f t="shared" si="14"/>
        <v>0.84507042253521125</v>
      </c>
      <c r="AM13">
        <f t="shared" si="14"/>
        <v>0.62376237623762376</v>
      </c>
      <c r="AN13">
        <f t="shared" si="14"/>
        <v>0.88888888888888884</v>
      </c>
      <c r="AO13">
        <f t="shared" si="14"/>
        <v>0.79047619047619044</v>
      </c>
      <c r="AP13">
        <f>AI13/AI$16</f>
        <v>0.62</v>
      </c>
      <c r="AQ13">
        <f>AVERAGE(AL13:AP13)</f>
        <v>0.75363957562758288</v>
      </c>
      <c r="AR13">
        <f>STDEV(AL13:AP13)/SQRT(5)</f>
        <v>5.6007381563819722E-2</v>
      </c>
      <c r="AT13" t="s">
        <v>26</v>
      </c>
      <c r="AU13" s="2">
        <v>1.359</v>
      </c>
      <c r="AV13" s="2">
        <v>0.40899999999999997</v>
      </c>
      <c r="AW13" s="2">
        <v>30.1</v>
      </c>
      <c r="AX13">
        <v>0.39763490000000001</v>
      </c>
    </row>
    <row r="14" spans="1:50" x14ac:dyDescent="0.3">
      <c r="A14" s="1">
        <v>10</v>
      </c>
      <c r="B14">
        <f>79-4</f>
        <v>75</v>
      </c>
      <c r="C14">
        <f>80-11</f>
        <v>69</v>
      </c>
      <c r="D14">
        <f>92-12</f>
        <v>80</v>
      </c>
      <c r="E14">
        <f>97-10</f>
        <v>87</v>
      </c>
      <c r="F14">
        <f>55-8</f>
        <v>47</v>
      </c>
      <c r="H14" s="1">
        <v>10</v>
      </c>
      <c r="I14">
        <f t="shared" si="9"/>
        <v>150</v>
      </c>
      <c r="J14">
        <f t="shared" si="9"/>
        <v>138</v>
      </c>
      <c r="K14">
        <f t="shared" si="9"/>
        <v>160</v>
      </c>
      <c r="L14">
        <f t="shared" si="9"/>
        <v>174</v>
      </c>
      <c r="M14">
        <f t="shared" si="9"/>
        <v>94</v>
      </c>
      <c r="O14" s="1">
        <v>10</v>
      </c>
      <c r="P14">
        <f>I14/$I$8</f>
        <v>1.0273972602739727</v>
      </c>
      <c r="Q14">
        <f t="shared" si="10"/>
        <v>0.67647058823529416</v>
      </c>
      <c r="R14">
        <f t="shared" si="11"/>
        <v>1.2121212121212122</v>
      </c>
      <c r="S14">
        <f t="shared" si="12"/>
        <v>0.81308411214953269</v>
      </c>
      <c r="T14">
        <f>M14/$M$8</f>
        <v>0.97916666666666663</v>
      </c>
      <c r="U14">
        <f t="shared" si="7"/>
        <v>0.94164796788933569</v>
      </c>
      <c r="V14">
        <f t="shared" si="8"/>
        <v>9.1859696665783641E-2</v>
      </c>
      <c r="X14" t="s">
        <v>11</v>
      </c>
      <c r="Y14" s="5">
        <v>2.2229999999999999</v>
      </c>
      <c r="Z14" s="5">
        <v>0.6643</v>
      </c>
      <c r="AA14" s="2">
        <v>29.88</v>
      </c>
      <c r="AB14">
        <v>0.2927979</v>
      </c>
      <c r="AD14" s="1">
        <v>10</v>
      </c>
      <c r="AE14">
        <f t="shared" si="15"/>
        <v>553.67884838214013</v>
      </c>
      <c r="AF14">
        <f t="shared" si="16"/>
        <v>509.38454051156896</v>
      </c>
      <c r="AG14">
        <f t="shared" si="17"/>
        <v>590.59077160761615</v>
      </c>
      <c r="AH14">
        <f t="shared" si="18"/>
        <v>642.26746412328259</v>
      </c>
      <c r="AI14">
        <f t="shared" si="19"/>
        <v>346.97207831947452</v>
      </c>
      <c r="AK14" s="1">
        <v>10</v>
      </c>
      <c r="AL14">
        <f t="shared" si="14"/>
        <v>1.056338028169014</v>
      </c>
      <c r="AM14">
        <f t="shared" si="14"/>
        <v>0.68316831683168322</v>
      </c>
      <c r="AN14">
        <f t="shared" si="14"/>
        <v>0.88888888888888884</v>
      </c>
      <c r="AO14">
        <f t="shared" si="14"/>
        <v>0.82857142857142863</v>
      </c>
      <c r="AP14">
        <f>AI14/AI$16</f>
        <v>0.94000000000000006</v>
      </c>
      <c r="AQ14">
        <f>AVERAGE(AL14:AP14)</f>
        <v>0.87939333249220297</v>
      </c>
      <c r="AR14">
        <f>STDEV(AL14:AP14)/SQRT(5)</f>
        <v>6.170894657784496E-2</v>
      </c>
      <c r="AT14" t="s">
        <v>11</v>
      </c>
      <c r="AU14" s="5">
        <v>1.788</v>
      </c>
      <c r="AV14" s="5">
        <v>0.49330000000000002</v>
      </c>
      <c r="AW14" s="2">
        <v>27.59</v>
      </c>
      <c r="AX14">
        <v>0.28011750000000002</v>
      </c>
    </row>
    <row r="15" spans="1:50" x14ac:dyDescent="0.3">
      <c r="A15" s="1">
        <v>25</v>
      </c>
      <c r="B15">
        <f>73-2</f>
        <v>71</v>
      </c>
      <c r="C15">
        <f>108-7</f>
        <v>101</v>
      </c>
      <c r="D15">
        <f>101-11</f>
        <v>90</v>
      </c>
      <c r="E15">
        <f>113-8</f>
        <v>105</v>
      </c>
      <c r="H15" s="1">
        <v>25</v>
      </c>
      <c r="I15">
        <f>B15*2</f>
        <v>142</v>
      </c>
      <c r="J15">
        <f>C15*2</f>
        <v>202</v>
      </c>
      <c r="K15">
        <f>D15*2</f>
        <v>180</v>
      </c>
      <c r="L15">
        <f>E15*2</f>
        <v>210</v>
      </c>
      <c r="M15" t="s">
        <v>27</v>
      </c>
      <c r="O15" s="3">
        <v>25</v>
      </c>
      <c r="P15">
        <f>I15/$I$8</f>
        <v>0.9726027397260274</v>
      </c>
      <c r="Q15">
        <f t="shared" si="10"/>
        <v>0.99019607843137258</v>
      </c>
      <c r="R15">
        <f t="shared" si="11"/>
        <v>1.3636363636363635</v>
      </c>
      <c r="S15">
        <f t="shared" si="12"/>
        <v>0.98130841121495327</v>
      </c>
      <c r="T15" t="s">
        <v>27</v>
      </c>
      <c r="U15">
        <f>AVERAGE(P15:S15)</f>
        <v>1.0769358982521791</v>
      </c>
      <c r="V15">
        <f t="shared" si="8"/>
        <v>8.5537897035623034E-2</v>
      </c>
      <c r="AD15" s="3">
        <v>25</v>
      </c>
      <c r="AE15">
        <f t="shared" si="15"/>
        <v>524.14930980175939</v>
      </c>
      <c r="AF15">
        <f t="shared" si="16"/>
        <v>745.62084915461537</v>
      </c>
      <c r="AG15">
        <f t="shared" si="17"/>
        <v>664.41461805856818</v>
      </c>
      <c r="AH15">
        <f t="shared" si="18"/>
        <v>775.15038773499623</v>
      </c>
      <c r="AI15" t="s">
        <v>27</v>
      </c>
      <c r="AK15" s="3">
        <v>25</v>
      </c>
      <c r="AL15">
        <f t="shared" si="14"/>
        <v>1</v>
      </c>
      <c r="AM15">
        <f t="shared" si="14"/>
        <v>1</v>
      </c>
      <c r="AN15">
        <f t="shared" si="14"/>
        <v>1</v>
      </c>
      <c r="AO15">
        <f t="shared" si="14"/>
        <v>1</v>
      </c>
      <c r="AP15" t="s">
        <v>27</v>
      </c>
      <c r="AQ15">
        <f>AVERAGE(AL15:AO15)</f>
        <v>1</v>
      </c>
      <c r="AR15">
        <f>STDEV(AL15:AP15)/SQRT(4)</f>
        <v>0</v>
      </c>
    </row>
    <row r="16" spans="1:50" x14ac:dyDescent="0.3">
      <c r="A16" s="1">
        <v>50</v>
      </c>
      <c r="B16" t="s">
        <v>27</v>
      </c>
      <c r="C16">
        <f>108-6</f>
        <v>102</v>
      </c>
      <c r="D16">
        <f>103-12</f>
        <v>91</v>
      </c>
      <c r="E16">
        <f>97-6</f>
        <v>91</v>
      </c>
      <c r="F16">
        <f>58-8</f>
        <v>50</v>
      </c>
      <c r="H16" s="1">
        <v>50</v>
      </c>
      <c r="I16" t="s">
        <v>27</v>
      </c>
      <c r="J16">
        <f t="shared" ref="J16:M18" si="20">C16*2</f>
        <v>204</v>
      </c>
      <c r="K16">
        <f t="shared" si="20"/>
        <v>182</v>
      </c>
      <c r="L16">
        <f t="shared" si="20"/>
        <v>182</v>
      </c>
      <c r="M16">
        <f t="shared" si="20"/>
        <v>100</v>
      </c>
      <c r="O16" s="1">
        <v>50</v>
      </c>
      <c r="P16" t="s">
        <v>27</v>
      </c>
      <c r="Q16">
        <f t="shared" si="10"/>
        <v>1</v>
      </c>
      <c r="R16">
        <f t="shared" si="11"/>
        <v>1.3787878787878789</v>
      </c>
      <c r="S16">
        <f t="shared" si="12"/>
        <v>0.85046728971962615</v>
      </c>
      <c r="T16">
        <f>M16/$M$8</f>
        <v>1.0416666666666667</v>
      </c>
      <c r="U16">
        <f>AVERAGE(Q16:T16)</f>
        <v>1.067730458793543</v>
      </c>
      <c r="V16">
        <f>STDEV(Q16:T16)/SQRT(4)</f>
        <v>0.11151484933929594</v>
      </c>
      <c r="AD16" s="1">
        <v>50</v>
      </c>
      <c r="AE16" t="s">
        <v>27</v>
      </c>
      <c r="AF16">
        <f t="shared" si="16"/>
        <v>753.00323379971064</v>
      </c>
      <c r="AG16">
        <f t="shared" si="17"/>
        <v>671.79700270366345</v>
      </c>
      <c r="AH16">
        <f t="shared" si="18"/>
        <v>671.79700270366345</v>
      </c>
      <c r="AI16">
        <f t="shared" si="19"/>
        <v>369.11923225476011</v>
      </c>
      <c r="AK16" s="1">
        <v>50</v>
      </c>
      <c r="AL16" t="s">
        <v>27</v>
      </c>
      <c r="AM16">
        <f t="shared" ref="AM16:AO18" si="21">AF16/AF$15</f>
        <v>1.0099009900990099</v>
      </c>
      <c r="AN16">
        <f t="shared" si="21"/>
        <v>1.0111111111111113</v>
      </c>
      <c r="AO16">
        <f t="shared" si="21"/>
        <v>0.8666666666666667</v>
      </c>
      <c r="AP16">
        <f>AI16/AI$16</f>
        <v>1</v>
      </c>
      <c r="AQ16">
        <f>AVERAGE(AM16:AP16)</f>
        <v>0.97191969196919692</v>
      </c>
      <c r="AR16">
        <f>STDEV(AL16:AP16)/SQRT(4)</f>
        <v>3.5172490879974649E-2</v>
      </c>
    </row>
    <row r="17" spans="1:50" x14ac:dyDescent="0.3">
      <c r="A17" s="1">
        <v>100</v>
      </c>
      <c r="B17" t="s">
        <v>27</v>
      </c>
      <c r="C17">
        <f>89-5</f>
        <v>84</v>
      </c>
      <c r="D17">
        <f>102-11</f>
        <v>91</v>
      </c>
      <c r="E17">
        <f>95-6</f>
        <v>89</v>
      </c>
      <c r="F17">
        <f>52-10</f>
        <v>42</v>
      </c>
      <c r="H17" s="1">
        <v>100</v>
      </c>
      <c r="I17" t="s">
        <v>27</v>
      </c>
      <c r="J17">
        <f t="shared" si="20"/>
        <v>168</v>
      </c>
      <c r="K17">
        <f t="shared" si="20"/>
        <v>182</v>
      </c>
      <c r="L17">
        <f t="shared" si="20"/>
        <v>178</v>
      </c>
      <c r="M17">
        <f t="shared" si="20"/>
        <v>84</v>
      </c>
      <c r="O17" s="1">
        <v>100</v>
      </c>
      <c r="P17" t="s">
        <v>27</v>
      </c>
      <c r="Q17">
        <f t="shared" si="10"/>
        <v>0.82352941176470584</v>
      </c>
      <c r="R17">
        <f t="shared" si="11"/>
        <v>1.3787878787878789</v>
      </c>
      <c r="S17">
        <f t="shared" si="12"/>
        <v>0.83177570093457942</v>
      </c>
      <c r="T17">
        <f>M17/$M$8</f>
        <v>0.875</v>
      </c>
      <c r="U17">
        <f>AVERAGE(Q17:T17)</f>
        <v>0.97727324787179093</v>
      </c>
      <c r="V17">
        <f>STDEV(Q17:T17)/SQRT(4)</f>
        <v>0.13431322824390646</v>
      </c>
      <c r="AD17" s="1">
        <v>100</v>
      </c>
      <c r="AE17" t="s">
        <v>27</v>
      </c>
      <c r="AF17">
        <f t="shared" si="16"/>
        <v>620.12031018799701</v>
      </c>
      <c r="AG17">
        <f t="shared" si="17"/>
        <v>671.79700270366345</v>
      </c>
      <c r="AH17">
        <f t="shared" si="18"/>
        <v>657.03223341347302</v>
      </c>
      <c r="AI17">
        <f t="shared" si="19"/>
        <v>310.0601550939985</v>
      </c>
      <c r="AK17" s="1">
        <v>100</v>
      </c>
      <c r="AL17" t="s">
        <v>27</v>
      </c>
      <c r="AM17">
        <f t="shared" si="21"/>
        <v>0.83168316831683176</v>
      </c>
      <c r="AN17">
        <f t="shared" si="21"/>
        <v>1.0111111111111113</v>
      </c>
      <c r="AO17">
        <f t="shared" si="21"/>
        <v>0.84761904761904761</v>
      </c>
      <c r="AP17">
        <f>AI17/AI$16</f>
        <v>0.84000000000000008</v>
      </c>
      <c r="AQ17">
        <f>AVERAGE(AM17:AP17)</f>
        <v>0.88260333176174766</v>
      </c>
      <c r="AR17">
        <f>STDEV(AL17:AP17)/SQRT(4)</f>
        <v>4.2959337763304711E-2</v>
      </c>
    </row>
    <row r="18" spans="1:50" x14ac:dyDescent="0.3">
      <c r="A18" s="1">
        <v>150</v>
      </c>
      <c r="B18" t="s">
        <v>27</v>
      </c>
      <c r="C18">
        <f>97-12</f>
        <v>85</v>
      </c>
      <c r="D18">
        <f>97-8</f>
        <v>89</v>
      </c>
      <c r="E18">
        <f>93-4</f>
        <v>89</v>
      </c>
      <c r="F18">
        <f>47-9</f>
        <v>38</v>
      </c>
      <c r="H18" s="1">
        <v>150</v>
      </c>
      <c r="I18" t="s">
        <v>27</v>
      </c>
      <c r="J18">
        <f t="shared" si="20"/>
        <v>170</v>
      </c>
      <c r="K18">
        <f t="shared" si="20"/>
        <v>178</v>
      </c>
      <c r="L18">
        <f t="shared" si="20"/>
        <v>178</v>
      </c>
      <c r="M18">
        <f t="shared" si="20"/>
        <v>76</v>
      </c>
      <c r="O18" s="1">
        <v>150</v>
      </c>
      <c r="P18" t="s">
        <v>27</v>
      </c>
      <c r="Q18">
        <f t="shared" si="10"/>
        <v>0.83333333333333337</v>
      </c>
      <c r="R18">
        <f t="shared" si="11"/>
        <v>1.3484848484848484</v>
      </c>
      <c r="S18">
        <f t="shared" si="12"/>
        <v>0.83177570093457942</v>
      </c>
      <c r="T18">
        <f>M18/$M$8</f>
        <v>0.79166666666666663</v>
      </c>
      <c r="U18">
        <f>AVERAGE(Q18:T18)</f>
        <v>0.95131513735485684</v>
      </c>
      <c r="V18">
        <f>STDEV(Q18:T18)/SQRT(4)</f>
        <v>0.13274059808890756</v>
      </c>
      <c r="AD18" s="1">
        <v>150</v>
      </c>
      <c r="AE18" t="s">
        <v>27</v>
      </c>
      <c r="AF18">
        <f t="shared" si="16"/>
        <v>627.50269483309216</v>
      </c>
      <c r="AG18">
        <f t="shared" si="17"/>
        <v>657.03223341347302</v>
      </c>
      <c r="AH18">
        <f t="shared" si="18"/>
        <v>657.03223341347302</v>
      </c>
      <c r="AI18">
        <f t="shared" si="19"/>
        <v>280.5306165136177</v>
      </c>
      <c r="AK18" s="1">
        <v>150</v>
      </c>
      <c r="AL18" t="s">
        <v>27</v>
      </c>
      <c r="AM18">
        <f t="shared" si="21"/>
        <v>0.84158415841584167</v>
      </c>
      <c r="AN18">
        <f t="shared" si="21"/>
        <v>0.98888888888888893</v>
      </c>
      <c r="AO18">
        <f t="shared" si="21"/>
        <v>0.84761904761904761</v>
      </c>
      <c r="AP18">
        <f>AI18/AI$16</f>
        <v>0.76</v>
      </c>
      <c r="AQ18">
        <f>AVERAGE(AM18:AP18)</f>
        <v>0.85952302373094458</v>
      </c>
      <c r="AR18">
        <f>STDEV(AL18:AP18)/SQRT(4)</f>
        <v>4.7525315058292543E-2</v>
      </c>
    </row>
    <row r="19" spans="1:50" x14ac:dyDescent="0.3">
      <c r="AD19" s="48" t="s">
        <v>93</v>
      </c>
      <c r="AE19" s="48"/>
      <c r="AF19" s="48"/>
      <c r="AG19" s="48"/>
      <c r="AH19" s="48"/>
      <c r="AI19">
        <v>1.3851637920341076</v>
      </c>
      <c r="AK19" s="1"/>
    </row>
    <row r="20" spans="1:50" x14ac:dyDescent="0.3">
      <c r="A20" s="1" t="s">
        <v>23</v>
      </c>
      <c r="B20" t="s">
        <v>1</v>
      </c>
      <c r="C20" t="s">
        <v>2</v>
      </c>
      <c r="D20" t="s">
        <v>3</v>
      </c>
      <c r="E20" t="s">
        <v>24</v>
      </c>
      <c r="F20" t="s">
        <v>25</v>
      </c>
      <c r="H20" s="1" t="s">
        <v>23</v>
      </c>
      <c r="I20" t="s">
        <v>1</v>
      </c>
      <c r="J20" t="s">
        <v>2</v>
      </c>
      <c r="K20" t="s">
        <v>3</v>
      </c>
      <c r="L20" t="s">
        <v>24</v>
      </c>
      <c r="M20" t="s">
        <v>25</v>
      </c>
      <c r="O20" s="1" t="s">
        <v>23</v>
      </c>
      <c r="P20" t="s">
        <v>1</v>
      </c>
      <c r="Q20" t="s">
        <v>2</v>
      </c>
      <c r="R20" t="s">
        <v>3</v>
      </c>
      <c r="S20" t="s">
        <v>24</v>
      </c>
      <c r="T20" t="s">
        <v>25</v>
      </c>
      <c r="U20" s="1" t="s">
        <v>18</v>
      </c>
      <c r="V20" s="1" t="s">
        <v>92</v>
      </c>
      <c r="AD20" s="1" t="s">
        <v>23</v>
      </c>
      <c r="AE20" t="s">
        <v>1</v>
      </c>
      <c r="AF20" t="s">
        <v>2</v>
      </c>
      <c r="AG20" t="s">
        <v>3</v>
      </c>
      <c r="AH20" t="s">
        <v>24</v>
      </c>
      <c r="AI20" t="s">
        <v>25</v>
      </c>
      <c r="AK20" s="1" t="s">
        <v>23</v>
      </c>
      <c r="AL20" t="s">
        <v>1</v>
      </c>
      <c r="AM20" t="s">
        <v>2</v>
      </c>
      <c r="AN20" t="s">
        <v>3</v>
      </c>
      <c r="AO20" t="s">
        <v>24</v>
      </c>
      <c r="AP20" t="s">
        <v>25</v>
      </c>
      <c r="AQ20" s="1" t="s">
        <v>18</v>
      </c>
      <c r="AR20" s="1" t="s">
        <v>92</v>
      </c>
    </row>
    <row r="21" spans="1:50" x14ac:dyDescent="0.3">
      <c r="A21" s="1">
        <v>1</v>
      </c>
      <c r="B21">
        <f>30-17</f>
        <v>13</v>
      </c>
      <c r="C21">
        <f>16-6</f>
        <v>10</v>
      </c>
      <c r="D21">
        <f>18-7</f>
        <v>11</v>
      </c>
      <c r="E21">
        <f>22-12</f>
        <v>10</v>
      </c>
      <c r="F21">
        <f>40-4</f>
        <v>36</v>
      </c>
      <c r="H21" s="1">
        <v>1</v>
      </c>
      <c r="I21">
        <f t="shared" si="0"/>
        <v>26</v>
      </c>
      <c r="J21">
        <f t="shared" si="0"/>
        <v>20</v>
      </c>
      <c r="K21">
        <f t="shared" si="0"/>
        <v>22</v>
      </c>
      <c r="L21">
        <f t="shared" si="0"/>
        <v>20</v>
      </c>
      <c r="M21">
        <f t="shared" si="0"/>
        <v>72</v>
      </c>
      <c r="O21" s="1">
        <v>1</v>
      </c>
      <c r="P21">
        <f t="shared" si="2"/>
        <v>0.17808219178082191</v>
      </c>
      <c r="Q21">
        <f t="shared" si="3"/>
        <v>9.8039215686274508E-2</v>
      </c>
      <c r="R21">
        <f t="shared" si="4"/>
        <v>0.16666666666666666</v>
      </c>
      <c r="S21">
        <f t="shared" si="5"/>
        <v>9.3457943925233641E-2</v>
      </c>
      <c r="T21">
        <f t="shared" si="6"/>
        <v>0.75</v>
      </c>
      <c r="U21">
        <f t="shared" si="7"/>
        <v>0.25724920361179937</v>
      </c>
      <c r="V21">
        <f t="shared" si="8"/>
        <v>0.12438877684659218</v>
      </c>
      <c r="X21" t="s">
        <v>20</v>
      </c>
      <c r="Y21" t="s">
        <v>5</v>
      </c>
      <c r="Z21" t="s">
        <v>6</v>
      </c>
      <c r="AA21" t="s">
        <v>7</v>
      </c>
      <c r="AB21" t="s">
        <v>8</v>
      </c>
      <c r="AD21" s="1">
        <v>1</v>
      </c>
      <c r="AE21">
        <f>I21*$AI$19</f>
        <v>36.014258592886797</v>
      </c>
      <c r="AF21">
        <f t="shared" ref="AF21:AI21" si="22">J21*$AI$19</f>
        <v>27.703275840682153</v>
      </c>
      <c r="AG21">
        <f t="shared" si="22"/>
        <v>30.473603424750365</v>
      </c>
      <c r="AH21">
        <f t="shared" si="22"/>
        <v>27.703275840682153</v>
      </c>
      <c r="AI21">
        <f t="shared" si="22"/>
        <v>99.731793026455748</v>
      </c>
      <c r="AK21" s="1">
        <v>1</v>
      </c>
      <c r="AL21">
        <f t="shared" ref="AL21:AP25" si="23">AE21/AE$24</f>
        <v>0.125</v>
      </c>
      <c r="AM21">
        <f t="shared" si="23"/>
        <v>0.10638297872340427</v>
      </c>
      <c r="AN21">
        <f t="shared" si="23"/>
        <v>0.11578947368421053</v>
      </c>
      <c r="AO21">
        <f t="shared" si="23"/>
        <v>0.10989010989010989</v>
      </c>
      <c r="AP21">
        <f t="shared" si="23"/>
        <v>0.87804878048780488</v>
      </c>
      <c r="AQ21">
        <f>AVERAGE(AL21:AP21)</f>
        <v>0.26702226855710592</v>
      </c>
      <c r="AR21">
        <f>STDEV(AL21:AP21)/SQRT(5)</f>
        <v>0.15278916486763655</v>
      </c>
      <c r="AT21" t="s">
        <v>20</v>
      </c>
      <c r="AU21" t="s">
        <v>5</v>
      </c>
      <c r="AV21" t="s">
        <v>6</v>
      </c>
      <c r="AW21" t="s">
        <v>7</v>
      </c>
      <c r="AX21" t="s">
        <v>8</v>
      </c>
    </row>
    <row r="22" spans="1:50" x14ac:dyDescent="0.3">
      <c r="A22" s="1">
        <v>7.5</v>
      </c>
      <c r="B22">
        <f>68-19</f>
        <v>49</v>
      </c>
      <c r="C22">
        <f>53-8</f>
        <v>45</v>
      </c>
      <c r="D22">
        <f>59-8</f>
        <v>51</v>
      </c>
      <c r="E22">
        <f>73-12</f>
        <v>61</v>
      </c>
      <c r="F22">
        <f>58-3</f>
        <v>55</v>
      </c>
      <c r="H22" s="1">
        <v>7.5</v>
      </c>
      <c r="I22">
        <f t="shared" si="0"/>
        <v>98</v>
      </c>
      <c r="J22">
        <f t="shared" si="0"/>
        <v>90</v>
      </c>
      <c r="K22">
        <f t="shared" si="0"/>
        <v>102</v>
      </c>
      <c r="L22">
        <f t="shared" si="0"/>
        <v>122</v>
      </c>
      <c r="M22">
        <f t="shared" si="0"/>
        <v>110</v>
      </c>
      <c r="O22" s="1">
        <v>7.5</v>
      </c>
      <c r="P22">
        <f t="shared" si="2"/>
        <v>0.67123287671232879</v>
      </c>
      <c r="Q22">
        <f t="shared" si="3"/>
        <v>0.44117647058823528</v>
      </c>
      <c r="R22">
        <f t="shared" si="4"/>
        <v>0.77272727272727271</v>
      </c>
      <c r="S22">
        <f t="shared" si="5"/>
        <v>0.57009345794392519</v>
      </c>
      <c r="T22">
        <f t="shared" si="6"/>
        <v>1.1458333333333333</v>
      </c>
      <c r="U22">
        <f t="shared" si="7"/>
        <v>0.72021268226101898</v>
      </c>
      <c r="V22">
        <f t="shared" si="8"/>
        <v>0.11973026583051412</v>
      </c>
      <c r="X22" t="s">
        <v>9</v>
      </c>
      <c r="Y22" s="2">
        <v>1.0880000000000001</v>
      </c>
      <c r="Z22" s="2">
        <v>5.8299999999999998E-2</v>
      </c>
      <c r="AA22" s="2">
        <v>5.36</v>
      </c>
      <c r="AB22">
        <v>0.59654870000000004</v>
      </c>
      <c r="AD22" s="1">
        <v>7.5</v>
      </c>
      <c r="AE22">
        <f t="shared" ref="AE22:AE25" si="24">I22*$AI$19</f>
        <v>135.74605161934255</v>
      </c>
      <c r="AF22">
        <f t="shared" ref="AF22:AF27" si="25">J22*$AI$19</f>
        <v>124.66474128306967</v>
      </c>
      <c r="AG22">
        <f t="shared" ref="AG22:AG27" si="26">K22*$AI$19</f>
        <v>141.28670678747898</v>
      </c>
      <c r="AH22">
        <f t="shared" ref="AH22:AH27" si="27">L22*$AI$19</f>
        <v>168.98998262816113</v>
      </c>
      <c r="AI22">
        <f t="shared" ref="AI22:AI27" si="28">M22*$AI$19</f>
        <v>152.36801712375183</v>
      </c>
      <c r="AK22" s="1">
        <v>7.5</v>
      </c>
      <c r="AL22">
        <f t="shared" si="23"/>
        <v>0.4711538461538462</v>
      </c>
      <c r="AM22">
        <f t="shared" si="23"/>
        <v>0.47872340425531917</v>
      </c>
      <c r="AN22">
        <f t="shared" si="23"/>
        <v>0.5368421052631579</v>
      </c>
      <c r="AO22">
        <f t="shared" si="23"/>
        <v>0.67032967032967028</v>
      </c>
      <c r="AP22">
        <f t="shared" si="23"/>
        <v>1.3414634146341462</v>
      </c>
      <c r="AQ22">
        <f>AVERAGE(AL22:AP22)</f>
        <v>0.69970248812722802</v>
      </c>
      <c r="AR22">
        <f>STDEV(AL22:AP22)/SQRT(5)</f>
        <v>0.16436386323942428</v>
      </c>
      <c r="AT22" t="s">
        <v>9</v>
      </c>
      <c r="AU22" s="2">
        <v>1.038</v>
      </c>
      <c r="AV22" s="2">
        <v>3.8550000000000001E-2</v>
      </c>
      <c r="AW22" s="2">
        <v>3.7130000000000001</v>
      </c>
      <c r="AX22">
        <v>0.6637535</v>
      </c>
    </row>
    <row r="23" spans="1:50" x14ac:dyDescent="0.3">
      <c r="A23" s="1">
        <v>10</v>
      </c>
      <c r="B23">
        <f>114-15</f>
        <v>99</v>
      </c>
      <c r="C23">
        <f>79-7</f>
        <v>72</v>
      </c>
      <c r="D23">
        <f>74-9</f>
        <v>65</v>
      </c>
      <c r="E23">
        <f>83-12</f>
        <v>71</v>
      </c>
      <c r="F23">
        <f>49-5</f>
        <v>44</v>
      </c>
      <c r="H23" s="1">
        <v>10</v>
      </c>
      <c r="I23">
        <f t="shared" si="0"/>
        <v>198</v>
      </c>
      <c r="J23">
        <f t="shared" si="0"/>
        <v>144</v>
      </c>
      <c r="K23">
        <f t="shared" si="0"/>
        <v>130</v>
      </c>
      <c r="L23">
        <f t="shared" si="0"/>
        <v>142</v>
      </c>
      <c r="M23">
        <f t="shared" si="0"/>
        <v>88</v>
      </c>
      <c r="O23" s="1">
        <v>10</v>
      </c>
      <c r="P23">
        <f t="shared" si="2"/>
        <v>1.3561643835616439</v>
      </c>
      <c r="Q23">
        <f t="shared" si="3"/>
        <v>0.70588235294117652</v>
      </c>
      <c r="R23">
        <f t="shared" si="4"/>
        <v>0.98484848484848486</v>
      </c>
      <c r="S23">
        <f t="shared" si="5"/>
        <v>0.66355140186915884</v>
      </c>
      <c r="T23">
        <f t="shared" si="6"/>
        <v>0.91666666666666663</v>
      </c>
      <c r="U23">
        <f t="shared" si="7"/>
        <v>0.92542265797742618</v>
      </c>
      <c r="V23">
        <f t="shared" si="8"/>
        <v>0.12367720702569721</v>
      </c>
      <c r="X23" t="s">
        <v>10</v>
      </c>
      <c r="Y23" s="2">
        <v>1.198</v>
      </c>
      <c r="Z23" s="2">
        <v>0.28649999999999998</v>
      </c>
      <c r="AA23" s="2">
        <v>23.91</v>
      </c>
      <c r="AB23">
        <v>0.4574879</v>
      </c>
      <c r="AD23" s="1">
        <v>10</v>
      </c>
      <c r="AE23">
        <f t="shared" si="24"/>
        <v>274.26243082275329</v>
      </c>
      <c r="AF23">
        <f t="shared" si="25"/>
        <v>199.4635860529115</v>
      </c>
      <c r="AG23">
        <f t="shared" si="26"/>
        <v>180.07129296443398</v>
      </c>
      <c r="AH23">
        <f t="shared" si="27"/>
        <v>196.69325846884328</v>
      </c>
      <c r="AI23">
        <f t="shared" si="28"/>
        <v>121.89441369900146</v>
      </c>
      <c r="AK23" s="1">
        <v>10</v>
      </c>
      <c r="AL23">
        <f t="shared" si="23"/>
        <v>0.95192307692307687</v>
      </c>
      <c r="AM23">
        <f t="shared" si="23"/>
        <v>0.76595744680851074</v>
      </c>
      <c r="AN23">
        <f t="shared" si="23"/>
        <v>0.68421052631578949</v>
      </c>
      <c r="AO23">
        <f t="shared" si="23"/>
        <v>0.78021978021978022</v>
      </c>
      <c r="AP23">
        <f t="shared" si="23"/>
        <v>1.0731707317073169</v>
      </c>
      <c r="AQ23">
        <f>AVERAGE(AL23:AP23)</f>
        <v>0.85109631239489469</v>
      </c>
      <c r="AR23">
        <f>STDEV(AL23:AP23)/SQRT(5)</f>
        <v>7.0571261502086952E-2</v>
      </c>
      <c r="AT23" t="s">
        <v>10</v>
      </c>
      <c r="AU23" s="2">
        <v>1.0740000000000001</v>
      </c>
      <c r="AV23" s="2">
        <v>0.1681</v>
      </c>
      <c r="AW23" s="2">
        <v>15.64</v>
      </c>
      <c r="AX23">
        <v>0.52479560000000003</v>
      </c>
    </row>
    <row r="24" spans="1:50" x14ac:dyDescent="0.3">
      <c r="A24" s="1">
        <v>25</v>
      </c>
      <c r="B24">
        <f>117-13</f>
        <v>104</v>
      </c>
      <c r="C24">
        <f>104-10</f>
        <v>94</v>
      </c>
      <c r="D24">
        <f>105-10</f>
        <v>95</v>
      </c>
      <c r="E24">
        <f>105-14</f>
        <v>91</v>
      </c>
      <c r="F24">
        <f>48-7</f>
        <v>41</v>
      </c>
      <c r="H24" s="1">
        <v>25</v>
      </c>
      <c r="I24">
        <f t="shared" si="0"/>
        <v>208</v>
      </c>
      <c r="J24">
        <f t="shared" si="0"/>
        <v>188</v>
      </c>
      <c r="K24">
        <f t="shared" si="0"/>
        <v>190</v>
      </c>
      <c r="L24">
        <f t="shared" si="0"/>
        <v>182</v>
      </c>
      <c r="M24">
        <f t="shared" si="0"/>
        <v>82</v>
      </c>
      <c r="O24" s="3">
        <v>25</v>
      </c>
      <c r="P24">
        <f t="shared" si="2"/>
        <v>1.4246575342465753</v>
      </c>
      <c r="Q24">
        <f t="shared" si="3"/>
        <v>0.92156862745098034</v>
      </c>
      <c r="R24">
        <f t="shared" si="4"/>
        <v>1.4393939393939394</v>
      </c>
      <c r="S24">
        <f t="shared" si="5"/>
        <v>0.85046728971962615</v>
      </c>
      <c r="T24">
        <f t="shared" si="6"/>
        <v>0.85416666666666663</v>
      </c>
      <c r="U24">
        <f t="shared" si="7"/>
        <v>1.0980508114955576</v>
      </c>
      <c r="V24">
        <f t="shared" si="8"/>
        <v>0.13695074296049814</v>
      </c>
      <c r="X24" t="s">
        <v>11</v>
      </c>
      <c r="Y24" s="5">
        <v>2.996</v>
      </c>
      <c r="Z24" s="5">
        <v>0.79220000000000002</v>
      </c>
      <c r="AA24" s="2">
        <v>26.44</v>
      </c>
      <c r="AB24">
        <v>0.37624299999999999</v>
      </c>
      <c r="AD24" s="3">
        <v>25</v>
      </c>
      <c r="AE24">
        <f t="shared" si="24"/>
        <v>288.11406874309438</v>
      </c>
      <c r="AF24">
        <f t="shared" si="25"/>
        <v>260.4107929024122</v>
      </c>
      <c r="AG24">
        <f t="shared" si="26"/>
        <v>263.18112048648044</v>
      </c>
      <c r="AH24">
        <f t="shared" si="27"/>
        <v>252.09981015020759</v>
      </c>
      <c r="AI24">
        <f t="shared" si="28"/>
        <v>113.58343094679682</v>
      </c>
      <c r="AK24" s="3">
        <v>25</v>
      </c>
      <c r="AL24">
        <f t="shared" si="23"/>
        <v>1</v>
      </c>
      <c r="AM24">
        <f t="shared" si="23"/>
        <v>1</v>
      </c>
      <c r="AN24">
        <f t="shared" si="23"/>
        <v>1</v>
      </c>
      <c r="AO24">
        <f t="shared" si="23"/>
        <v>1</v>
      </c>
      <c r="AP24">
        <f t="shared" si="23"/>
        <v>1</v>
      </c>
      <c r="AQ24">
        <f>AVERAGE(AL24:AP24)</f>
        <v>1</v>
      </c>
      <c r="AR24">
        <f>STDEV(AL24:AP24)/SQRT(5)</f>
        <v>0</v>
      </c>
      <c r="AT24" t="s">
        <v>11</v>
      </c>
      <c r="AU24" s="5">
        <v>2.9009999999999998</v>
      </c>
      <c r="AV24" s="5">
        <v>0.51359999999999995</v>
      </c>
      <c r="AW24" s="2">
        <v>17.7</v>
      </c>
      <c r="AX24">
        <v>0.41983559999999998</v>
      </c>
    </row>
    <row r="25" spans="1:50" x14ac:dyDescent="0.3">
      <c r="A25" s="1">
        <v>50</v>
      </c>
      <c r="B25">
        <f>118-11</f>
        <v>107</v>
      </c>
      <c r="C25">
        <f>96-7</f>
        <v>89</v>
      </c>
      <c r="D25">
        <f>97-10</f>
        <v>87</v>
      </c>
      <c r="E25">
        <f>103-16</f>
        <v>87</v>
      </c>
      <c r="F25">
        <f>55-6</f>
        <v>49</v>
      </c>
      <c r="H25" s="1">
        <v>50</v>
      </c>
      <c r="I25">
        <f t="shared" si="0"/>
        <v>214</v>
      </c>
      <c r="J25">
        <f t="shared" si="0"/>
        <v>178</v>
      </c>
      <c r="K25">
        <f t="shared" si="0"/>
        <v>174</v>
      </c>
      <c r="L25">
        <f t="shared" si="0"/>
        <v>174</v>
      </c>
      <c r="M25">
        <f t="shared" si="0"/>
        <v>98</v>
      </c>
      <c r="O25" s="1">
        <v>50</v>
      </c>
      <c r="P25">
        <f t="shared" si="2"/>
        <v>1.4657534246575343</v>
      </c>
      <c r="Q25">
        <f t="shared" si="3"/>
        <v>0.87254901960784315</v>
      </c>
      <c r="R25">
        <f t="shared" si="4"/>
        <v>1.3181818181818181</v>
      </c>
      <c r="S25">
        <f t="shared" si="5"/>
        <v>0.81308411214953269</v>
      </c>
      <c r="T25">
        <f t="shared" si="6"/>
        <v>1.0208333333333333</v>
      </c>
      <c r="U25">
        <f t="shared" si="7"/>
        <v>1.0980803415860121</v>
      </c>
      <c r="V25">
        <f t="shared" si="8"/>
        <v>0.12682320061510749</v>
      </c>
      <c r="AD25" s="1">
        <v>50</v>
      </c>
      <c r="AE25">
        <f t="shared" si="24"/>
        <v>296.42505149529904</v>
      </c>
      <c r="AF25">
        <f t="shared" si="25"/>
        <v>246.55915498207114</v>
      </c>
      <c r="AG25">
        <f t="shared" si="26"/>
        <v>241.01849981393471</v>
      </c>
      <c r="AH25">
        <f t="shared" si="27"/>
        <v>241.01849981393471</v>
      </c>
      <c r="AI25">
        <f t="shared" si="28"/>
        <v>135.74605161934255</v>
      </c>
      <c r="AK25" s="1">
        <v>50</v>
      </c>
      <c r="AL25">
        <f t="shared" si="23"/>
        <v>1.028846153846154</v>
      </c>
      <c r="AM25">
        <f t="shared" si="23"/>
        <v>0.94680851063829796</v>
      </c>
      <c r="AN25">
        <f t="shared" si="23"/>
        <v>0.91578947368421049</v>
      </c>
      <c r="AO25">
        <f t="shared" si="23"/>
        <v>0.95604395604395598</v>
      </c>
      <c r="AP25">
        <f t="shared" si="23"/>
        <v>1.1951219512195121</v>
      </c>
      <c r="AQ25">
        <f>AVERAGE(AL25:AP25)</f>
        <v>1.0085220090864262</v>
      </c>
      <c r="AR25">
        <f>STDEV(AL25:AP25)/SQRT(5)</f>
        <v>5.0196829744638266E-2</v>
      </c>
    </row>
    <row r="26" spans="1:50" x14ac:dyDescent="0.3">
      <c r="A26" s="1">
        <v>100</v>
      </c>
      <c r="B26" t="s">
        <v>27</v>
      </c>
      <c r="C26" t="s">
        <v>27</v>
      </c>
      <c r="D26">
        <f>100-11</f>
        <v>89</v>
      </c>
      <c r="E26">
        <f>103-13</f>
        <v>90</v>
      </c>
      <c r="F26">
        <f>52-8</f>
        <v>44</v>
      </c>
      <c r="H26" s="1">
        <v>100</v>
      </c>
      <c r="I26" t="s">
        <v>27</v>
      </c>
      <c r="J26" t="s">
        <v>27</v>
      </c>
      <c r="K26">
        <f t="shared" ref="K26:M27" si="29">D26*2</f>
        <v>178</v>
      </c>
      <c r="L26">
        <f t="shared" si="29"/>
        <v>180</v>
      </c>
      <c r="M26">
        <f t="shared" si="29"/>
        <v>88</v>
      </c>
      <c r="O26" s="1">
        <v>100</v>
      </c>
      <c r="P26" t="s">
        <v>27</v>
      </c>
      <c r="Q26" t="s">
        <v>27</v>
      </c>
      <c r="R26">
        <f t="shared" si="4"/>
        <v>1.3484848484848484</v>
      </c>
      <c r="S26">
        <f t="shared" si="5"/>
        <v>0.84112149532710279</v>
      </c>
      <c r="T26">
        <f t="shared" si="6"/>
        <v>0.91666666666666663</v>
      </c>
      <c r="U26">
        <f>AVERAGE(R26:T26)</f>
        <v>1.0354243368262059</v>
      </c>
      <c r="V26">
        <f>STDEV(R26:T26)/SQRT(3)</f>
        <v>0.15804211590391481</v>
      </c>
      <c r="AD26" s="1">
        <v>100</v>
      </c>
      <c r="AE26" t="s">
        <v>27</v>
      </c>
      <c r="AF26" t="s">
        <v>27</v>
      </c>
      <c r="AG26">
        <f t="shared" si="26"/>
        <v>246.55915498207114</v>
      </c>
      <c r="AH26">
        <f t="shared" si="27"/>
        <v>249.32948256613935</v>
      </c>
      <c r="AI26">
        <f t="shared" si="28"/>
        <v>121.89441369900146</v>
      </c>
      <c r="AK26" s="1">
        <v>100</v>
      </c>
      <c r="AL26" t="s">
        <v>27</v>
      </c>
      <c r="AM26" t="s">
        <v>27</v>
      </c>
      <c r="AN26">
        <f t="shared" ref="AN26:AP27" si="30">AG26/AG$24</f>
        <v>0.93684210526315781</v>
      </c>
      <c r="AO26">
        <f t="shared" si="30"/>
        <v>0.98901098901098894</v>
      </c>
      <c r="AP26">
        <f t="shared" si="30"/>
        <v>1.0731707317073169</v>
      </c>
      <c r="AQ26">
        <f>AVERAGE(AN26:AP26)</f>
        <v>0.99967460866048796</v>
      </c>
      <c r="AR26">
        <f>STDEV(AL26:AP26)/SQRT(3)</f>
        <v>3.9714221571370188E-2</v>
      </c>
    </row>
    <row r="27" spans="1:50" x14ac:dyDescent="0.3">
      <c r="A27" s="1">
        <v>150</v>
      </c>
      <c r="B27" t="s">
        <v>27</v>
      </c>
      <c r="C27">
        <f>96-8</f>
        <v>88</v>
      </c>
      <c r="D27">
        <f>110-11</f>
        <v>99</v>
      </c>
      <c r="E27">
        <f>100-10</f>
        <v>90</v>
      </c>
      <c r="F27">
        <f>50-9</f>
        <v>41</v>
      </c>
      <c r="H27" s="1">
        <v>150</v>
      </c>
      <c r="I27" t="s">
        <v>27</v>
      </c>
      <c r="J27">
        <f t="shared" ref="J27" si="31">C27*2</f>
        <v>176</v>
      </c>
      <c r="K27">
        <f t="shared" si="29"/>
        <v>198</v>
      </c>
      <c r="L27">
        <f t="shared" si="29"/>
        <v>180</v>
      </c>
      <c r="M27">
        <f t="shared" si="29"/>
        <v>82</v>
      </c>
      <c r="O27" s="1">
        <v>150</v>
      </c>
      <c r="P27" t="s">
        <v>27</v>
      </c>
      <c r="Q27">
        <f t="shared" si="3"/>
        <v>0.86274509803921573</v>
      </c>
      <c r="R27">
        <f t="shared" si="4"/>
        <v>1.5</v>
      </c>
      <c r="S27">
        <f t="shared" si="5"/>
        <v>0.84112149532710279</v>
      </c>
      <c r="T27">
        <f t="shared" si="6"/>
        <v>0.85416666666666663</v>
      </c>
      <c r="U27">
        <f>AVERAGE(Q27:T27)</f>
        <v>1.0145083150082463</v>
      </c>
      <c r="V27">
        <f>STDEV(Q27:T27)/SQRT(4)</f>
        <v>0.16189160047517318</v>
      </c>
      <c r="AD27" s="1">
        <v>150</v>
      </c>
      <c r="AE27" t="s">
        <v>27</v>
      </c>
      <c r="AF27">
        <f t="shared" si="25"/>
        <v>243.78882739800292</v>
      </c>
      <c r="AG27">
        <f t="shared" si="26"/>
        <v>274.26243082275329</v>
      </c>
      <c r="AH27">
        <f t="shared" si="27"/>
        <v>249.32948256613935</v>
      </c>
      <c r="AI27">
        <f t="shared" si="28"/>
        <v>113.58343094679682</v>
      </c>
      <c r="AK27" s="1">
        <v>150</v>
      </c>
      <c r="AL27" t="s">
        <v>27</v>
      </c>
      <c r="AM27">
        <f>AF27/AF$24</f>
        <v>0.93617021276595747</v>
      </c>
      <c r="AN27">
        <f t="shared" si="30"/>
        <v>1.0421052631578946</v>
      </c>
      <c r="AO27">
        <f t="shared" si="30"/>
        <v>0.98901098901098894</v>
      </c>
      <c r="AP27">
        <f t="shared" si="30"/>
        <v>1</v>
      </c>
      <c r="AQ27">
        <f>AVERAGE(AM27:AP27)</f>
        <v>0.99182161623371023</v>
      </c>
      <c r="AR27">
        <f>STDEV(AL27:AP27)/SQRT(4)</f>
        <v>2.1795086300854718E-2</v>
      </c>
    </row>
    <row r="28" spans="1:50" x14ac:dyDescent="0.3">
      <c r="A28" s="8"/>
      <c r="B28" s="7"/>
      <c r="C28" s="7"/>
      <c r="D28" s="7"/>
      <c r="E28" s="7"/>
      <c r="F28" s="7"/>
      <c r="G28" s="7"/>
      <c r="H28" s="8"/>
      <c r="I28" s="7"/>
      <c r="J28" s="7"/>
    </row>
    <row r="29" spans="1:50" x14ac:dyDescent="0.3">
      <c r="A29" s="8"/>
      <c r="B29" s="7"/>
      <c r="C29" s="7"/>
      <c r="D29" s="7"/>
      <c r="E29" s="7"/>
      <c r="F29" s="7"/>
      <c r="G29" s="7"/>
      <c r="H29" s="8"/>
      <c r="I29" s="7"/>
      <c r="J29" s="7"/>
    </row>
    <row r="30" spans="1:50" x14ac:dyDescent="0.3">
      <c r="A30" s="8"/>
      <c r="B30" s="7"/>
      <c r="C30" s="7"/>
      <c r="D30" s="7"/>
      <c r="E30" s="7"/>
      <c r="F30" s="7"/>
      <c r="G30" s="7"/>
      <c r="H30" s="8"/>
      <c r="I30" s="7"/>
      <c r="J30" s="7"/>
    </row>
    <row r="31" spans="1:50" x14ac:dyDescent="0.3">
      <c r="A31" s="8"/>
      <c r="B31" s="7"/>
      <c r="C31" s="7"/>
      <c r="D31" s="7"/>
      <c r="E31" s="7"/>
      <c r="F31" s="7"/>
      <c r="G31" s="7"/>
      <c r="H31" s="8"/>
      <c r="I31" s="7"/>
      <c r="J31" s="7"/>
    </row>
    <row r="32" spans="1:50" x14ac:dyDescent="0.3">
      <c r="A32" s="8"/>
      <c r="B32" s="7"/>
      <c r="C32" s="7"/>
      <c r="D32" s="7"/>
      <c r="E32" s="7"/>
      <c r="F32" s="7"/>
      <c r="G32" s="7"/>
      <c r="H32" s="8"/>
      <c r="I32" s="7"/>
      <c r="J32" s="7"/>
    </row>
    <row r="33" spans="1:15" x14ac:dyDescent="0.3">
      <c r="A33" s="8"/>
      <c r="B33" s="7"/>
      <c r="C33" s="7"/>
      <c r="D33" s="7"/>
      <c r="E33" s="7"/>
      <c r="F33" s="7"/>
      <c r="G33" s="7"/>
      <c r="H33" s="8"/>
      <c r="I33" s="7"/>
      <c r="J33" s="7"/>
    </row>
    <row r="34" spans="1:15" x14ac:dyDescent="0.3">
      <c r="A34" s="8"/>
      <c r="B34" s="7"/>
      <c r="C34" s="7"/>
      <c r="D34" s="7"/>
      <c r="E34" s="7"/>
      <c r="F34" s="7"/>
      <c r="G34" s="7"/>
      <c r="H34" s="8"/>
      <c r="I34" s="7"/>
      <c r="J34" s="7"/>
    </row>
    <row r="35" spans="1:15" x14ac:dyDescent="0.3">
      <c r="A35" s="8"/>
      <c r="B35" s="7"/>
      <c r="C35" s="7"/>
      <c r="D35" s="7"/>
      <c r="E35" s="7"/>
      <c r="F35" s="7"/>
      <c r="G35" s="7"/>
      <c r="H35" s="8"/>
      <c r="I35" s="7"/>
      <c r="J35" s="7"/>
    </row>
    <row r="36" spans="1:15" x14ac:dyDescent="0.3">
      <c r="A36" s="8"/>
      <c r="B36" s="7"/>
      <c r="C36" s="7"/>
      <c r="D36" s="7"/>
      <c r="E36" s="7"/>
      <c r="F36" s="7"/>
      <c r="G36" s="7"/>
      <c r="H36" s="8"/>
      <c r="I36" s="7"/>
      <c r="J36" s="7"/>
    </row>
    <row r="37" spans="1:15" x14ac:dyDescent="0.3">
      <c r="A37" s="8"/>
      <c r="B37" s="7"/>
      <c r="C37" s="7"/>
      <c r="D37" s="7"/>
      <c r="E37" s="7"/>
      <c r="F37" s="7"/>
      <c r="G37" s="7"/>
      <c r="H37" s="8"/>
      <c r="I37" s="7"/>
      <c r="J37" s="7"/>
    </row>
    <row r="38" spans="1:15" x14ac:dyDescent="0.3">
      <c r="A38" s="8"/>
      <c r="B38" s="7"/>
      <c r="C38" s="7"/>
      <c r="D38" s="7"/>
      <c r="E38" s="7"/>
      <c r="F38" s="7"/>
      <c r="G38" s="7"/>
      <c r="H38" s="8"/>
      <c r="I38" s="7"/>
      <c r="J38" s="7"/>
    </row>
    <row r="39" spans="1:15" x14ac:dyDescent="0.3">
      <c r="A39" s="9"/>
      <c r="B39" s="7"/>
      <c r="C39" s="7"/>
      <c r="D39" s="7"/>
      <c r="E39" s="7"/>
      <c r="F39" s="7"/>
      <c r="G39" s="7"/>
      <c r="H39" s="9"/>
      <c r="I39" s="7"/>
      <c r="J39" s="7"/>
      <c r="O39" s="6"/>
    </row>
    <row r="40" spans="1:15" x14ac:dyDescent="0.3">
      <c r="A40" s="7"/>
      <c r="B40" s="7"/>
      <c r="C40" s="7"/>
      <c r="D40" s="7"/>
      <c r="E40" s="7"/>
      <c r="F40" s="7"/>
      <c r="G40" s="7"/>
      <c r="H40" s="7"/>
      <c r="I40" s="7"/>
      <c r="J40" s="7"/>
      <c r="O40"/>
    </row>
    <row r="41" spans="1:15" x14ac:dyDescent="0.3">
      <c r="A41" s="7"/>
      <c r="B41" s="7"/>
      <c r="C41" s="7"/>
      <c r="D41" s="7"/>
      <c r="E41" s="7"/>
      <c r="F41" s="7"/>
      <c r="G41" s="7"/>
      <c r="H41" s="7"/>
      <c r="I41" s="7"/>
      <c r="J41" s="7"/>
      <c r="O41"/>
    </row>
    <row r="42" spans="1:15" x14ac:dyDescent="0.3">
      <c r="A42" s="7"/>
      <c r="B42" s="7"/>
      <c r="C42" s="7"/>
      <c r="D42" s="7"/>
      <c r="E42" s="7"/>
      <c r="F42" s="7"/>
      <c r="G42" s="7"/>
      <c r="H42" s="7"/>
      <c r="I42" s="7"/>
      <c r="J42" s="7"/>
      <c r="O42"/>
    </row>
    <row r="43" spans="1:15" x14ac:dyDescent="0.3">
      <c r="A43" s="7"/>
      <c r="B43" s="7"/>
      <c r="C43" s="7"/>
      <c r="D43" s="7"/>
      <c r="E43" s="7"/>
      <c r="F43" s="7"/>
      <c r="G43" s="7"/>
      <c r="H43" s="7"/>
      <c r="I43" s="7"/>
      <c r="J43" s="7"/>
      <c r="O43"/>
    </row>
    <row r="44" spans="1:15" x14ac:dyDescent="0.3">
      <c r="A44" s="7"/>
      <c r="B44" s="7"/>
      <c r="C44" s="7"/>
      <c r="D44" s="7"/>
      <c r="E44" s="7"/>
      <c r="F44" s="7"/>
      <c r="G44" s="7"/>
      <c r="H44" s="7"/>
      <c r="I44" s="7"/>
      <c r="J44" s="7"/>
      <c r="O44"/>
    </row>
    <row r="45" spans="1:15" x14ac:dyDescent="0.3">
      <c r="A45" s="7"/>
      <c r="B45" s="7"/>
      <c r="C45" s="7"/>
      <c r="D45" s="7"/>
      <c r="E45" s="7"/>
      <c r="F45" s="7"/>
      <c r="G45" s="7"/>
      <c r="H45" s="7"/>
      <c r="I45" s="7"/>
      <c r="J45" s="7"/>
      <c r="O45"/>
    </row>
    <row r="46" spans="1:15" x14ac:dyDescent="0.3">
      <c r="A46" s="7"/>
      <c r="B46" s="7"/>
      <c r="C46" s="7"/>
      <c r="D46" s="7"/>
      <c r="E46" s="7"/>
      <c r="F46" s="7"/>
      <c r="G46" s="7"/>
      <c r="H46" s="7"/>
      <c r="I46" s="7"/>
      <c r="J46" s="7"/>
      <c r="O46"/>
    </row>
    <row r="47" spans="1:15" x14ac:dyDescent="0.3">
      <c r="A47" s="7"/>
      <c r="B47" s="7"/>
      <c r="C47" s="7"/>
      <c r="D47" s="7"/>
      <c r="E47" s="7"/>
      <c r="F47" s="7"/>
      <c r="G47" s="7"/>
      <c r="H47" s="7"/>
      <c r="I47" s="7"/>
      <c r="J47" s="7"/>
      <c r="O47"/>
    </row>
    <row r="48" spans="1:15" x14ac:dyDescent="0.3">
      <c r="A48" s="7"/>
      <c r="B48" s="7"/>
      <c r="C48" s="7"/>
      <c r="D48" s="7"/>
      <c r="E48" s="7"/>
      <c r="F48" s="7"/>
      <c r="G48" s="7"/>
      <c r="H48" s="7"/>
      <c r="I48" s="7"/>
      <c r="J48" s="7"/>
      <c r="O48"/>
    </row>
    <row r="49" spans="1:15" x14ac:dyDescent="0.3">
      <c r="A49" s="7"/>
      <c r="B49" s="7"/>
      <c r="C49" s="7"/>
      <c r="D49" s="7"/>
      <c r="E49" s="7"/>
      <c r="F49" s="7"/>
      <c r="G49" s="7"/>
      <c r="H49" s="7"/>
      <c r="I49" s="7"/>
      <c r="J49" s="7"/>
      <c r="O49"/>
    </row>
    <row r="50" spans="1:15" x14ac:dyDescent="0.3">
      <c r="A50" s="7"/>
      <c r="B50" s="7"/>
      <c r="C50" s="7"/>
      <c r="D50" s="7"/>
      <c r="E50" s="7"/>
      <c r="F50" s="7"/>
      <c r="G50" s="7"/>
      <c r="H50" s="7"/>
      <c r="I50" s="7"/>
      <c r="J50" s="7"/>
      <c r="O50"/>
    </row>
    <row r="51" spans="1:15" x14ac:dyDescent="0.3">
      <c r="A51" s="7"/>
      <c r="B51" s="7"/>
      <c r="C51" s="7"/>
      <c r="D51" s="7"/>
      <c r="E51" s="7"/>
      <c r="F51" s="7"/>
      <c r="G51" s="7"/>
      <c r="H51" s="7"/>
      <c r="I51" s="7"/>
      <c r="J51" s="7"/>
      <c r="O51"/>
    </row>
    <row r="52" spans="1:15" x14ac:dyDescent="0.3">
      <c r="A52" s="7"/>
      <c r="B52" s="7"/>
      <c r="C52" s="7"/>
      <c r="D52" s="7"/>
      <c r="E52" s="7"/>
      <c r="F52" s="7"/>
      <c r="G52" s="7"/>
      <c r="H52" s="7"/>
      <c r="I52" s="7"/>
      <c r="J52" s="7"/>
      <c r="O52"/>
    </row>
    <row r="53" spans="1:15" x14ac:dyDescent="0.3">
      <c r="A53" s="7"/>
      <c r="B53" s="7"/>
      <c r="C53" s="7"/>
      <c r="D53" s="7"/>
      <c r="E53" s="7"/>
      <c r="F53" s="7"/>
      <c r="G53" s="7"/>
      <c r="H53" s="7"/>
      <c r="I53" s="7"/>
      <c r="J53" s="7"/>
      <c r="O53"/>
    </row>
    <row r="54" spans="1:15" x14ac:dyDescent="0.3">
      <c r="A54" s="8"/>
      <c r="B54" s="7"/>
      <c r="C54" s="7"/>
      <c r="D54" s="7"/>
      <c r="E54" s="7"/>
      <c r="F54" s="7"/>
      <c r="G54" s="7"/>
      <c r="H54" s="8"/>
      <c r="I54" s="7"/>
      <c r="J54" s="7"/>
    </row>
    <row r="55" spans="1:15" x14ac:dyDescent="0.3">
      <c r="A55" s="8"/>
      <c r="B55" s="7"/>
      <c r="C55" s="7"/>
      <c r="D55" s="7"/>
      <c r="E55" s="7"/>
      <c r="F55" s="7"/>
      <c r="G55" s="7"/>
      <c r="H55" s="8"/>
      <c r="I55" s="7"/>
      <c r="J55" s="7"/>
    </row>
    <row r="56" spans="1:15" x14ac:dyDescent="0.3">
      <c r="A56" s="8"/>
      <c r="B56" s="7"/>
      <c r="C56" s="7"/>
      <c r="D56" s="7"/>
      <c r="E56" s="7"/>
      <c r="F56" s="7"/>
      <c r="G56" s="7"/>
      <c r="H56" s="8"/>
      <c r="I56" s="7"/>
      <c r="J56" s="7"/>
    </row>
    <row r="57" spans="1:15" x14ac:dyDescent="0.3">
      <c r="A57" s="8"/>
      <c r="B57" s="7"/>
      <c r="C57" s="7"/>
      <c r="D57" s="7"/>
      <c r="E57" s="7"/>
      <c r="F57" s="7"/>
      <c r="G57" s="7"/>
      <c r="H57" s="8"/>
      <c r="I57" s="7"/>
      <c r="J57" s="7"/>
    </row>
    <row r="58" spans="1:15" x14ac:dyDescent="0.3">
      <c r="A58" s="8"/>
      <c r="B58" s="7"/>
      <c r="C58" s="7"/>
      <c r="D58" s="7"/>
      <c r="E58" s="7"/>
      <c r="F58" s="7"/>
      <c r="G58" s="7"/>
      <c r="H58" s="8"/>
      <c r="I58" s="7"/>
      <c r="J58" s="7"/>
    </row>
    <row r="59" spans="1:15" x14ac:dyDescent="0.3">
      <c r="A59" s="8"/>
      <c r="B59" s="7"/>
      <c r="C59" s="7"/>
      <c r="D59" s="7"/>
      <c r="E59" s="7"/>
      <c r="F59" s="7"/>
      <c r="G59" s="7"/>
      <c r="H59" s="8"/>
      <c r="I59" s="7"/>
      <c r="J59" s="7"/>
    </row>
    <row r="60" spans="1:15" x14ac:dyDescent="0.3">
      <c r="A60" s="8"/>
      <c r="B60" s="7"/>
      <c r="C60" s="7"/>
      <c r="D60" s="7"/>
      <c r="E60" s="7"/>
      <c r="F60" s="7"/>
      <c r="G60" s="7"/>
      <c r="H60" s="8"/>
      <c r="I60" s="7"/>
      <c r="J60" s="7"/>
    </row>
    <row r="61" spans="1:15" x14ac:dyDescent="0.3">
      <c r="A61" s="8"/>
      <c r="B61" s="7"/>
      <c r="C61" s="7"/>
      <c r="D61" s="7"/>
      <c r="E61" s="7"/>
      <c r="F61" s="7"/>
      <c r="G61" s="7"/>
      <c r="H61" s="8"/>
      <c r="I61" s="7"/>
      <c r="J61" s="7"/>
    </row>
  </sheetData>
  <mergeCells count="11">
    <mergeCell ref="AK8:AR8"/>
    <mergeCell ref="AT8:AV8"/>
    <mergeCell ref="AD10:AH10"/>
    <mergeCell ref="AD19:AH19"/>
    <mergeCell ref="X1:Z1"/>
    <mergeCell ref="AD8:AI8"/>
    <mergeCell ref="A1:B1"/>
    <mergeCell ref="F1:G1"/>
    <mergeCell ref="K1:L1"/>
    <mergeCell ref="H1:I1"/>
    <mergeCell ref="O1:P1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5"/>
  <sheetViews>
    <sheetView topLeftCell="J1" zoomScale="70" zoomScaleNormal="70" workbookViewId="0">
      <selection activeCell="AB4" sqref="AB4"/>
    </sheetView>
  </sheetViews>
  <sheetFormatPr defaultRowHeight="14.4" x14ac:dyDescent="0.3"/>
  <cols>
    <col min="1" max="1" width="12.21875" customWidth="1"/>
    <col min="6" max="6" width="12" customWidth="1"/>
    <col min="11" max="11" width="12.6640625" customWidth="1"/>
    <col min="12" max="12" width="9.6640625" customWidth="1"/>
    <col min="18" max="18" width="11.88671875" customWidth="1"/>
    <col min="22" max="22" width="13.21875" customWidth="1"/>
    <col min="40" max="40" width="13.21875" customWidth="1"/>
  </cols>
  <sheetData>
    <row r="1" spans="1:42" x14ac:dyDescent="0.3">
      <c r="A1" s="47" t="s">
        <v>28</v>
      </c>
      <c r="B1" s="47"/>
      <c r="F1" s="47" t="s">
        <v>21</v>
      </c>
      <c r="G1" s="47"/>
      <c r="K1" s="47" t="s">
        <v>22</v>
      </c>
      <c r="L1" s="47"/>
      <c r="R1" s="48" t="s">
        <v>29</v>
      </c>
      <c r="S1" s="48"/>
      <c r="T1" s="48"/>
    </row>
    <row r="2" spans="1:42" x14ac:dyDescent="0.3">
      <c r="A2" s="1" t="s">
        <v>12</v>
      </c>
      <c r="B2" t="s">
        <v>1</v>
      </c>
      <c r="C2" t="s">
        <v>2</v>
      </c>
      <c r="D2" t="s">
        <v>3</v>
      </c>
      <c r="F2" s="1" t="s">
        <v>12</v>
      </c>
      <c r="G2" t="s">
        <v>1</v>
      </c>
      <c r="H2" t="s">
        <v>2</v>
      </c>
      <c r="I2" t="s">
        <v>3</v>
      </c>
      <c r="K2" s="1" t="s">
        <v>12</v>
      </c>
      <c r="L2" t="s">
        <v>1</v>
      </c>
      <c r="M2" t="s">
        <v>2</v>
      </c>
      <c r="N2" t="s">
        <v>3</v>
      </c>
      <c r="O2" s="1" t="s">
        <v>18</v>
      </c>
      <c r="P2" s="1" t="s">
        <v>92</v>
      </c>
    </row>
    <row r="3" spans="1:42" x14ac:dyDescent="0.3">
      <c r="A3" s="1">
        <v>1</v>
      </c>
      <c r="B3">
        <f>5-3</f>
        <v>2</v>
      </c>
      <c r="C3">
        <f>11-3</f>
        <v>8</v>
      </c>
      <c r="D3">
        <f>4-2</f>
        <v>2</v>
      </c>
      <c r="F3" s="1">
        <v>1</v>
      </c>
      <c r="G3">
        <f>B3*2</f>
        <v>4</v>
      </c>
      <c r="H3">
        <f t="shared" ref="H3:I9" si="0">C3*2</f>
        <v>16</v>
      </c>
      <c r="I3">
        <f t="shared" si="0"/>
        <v>4</v>
      </c>
      <c r="K3" s="1">
        <v>1</v>
      </c>
      <c r="L3">
        <f>G3/$G$8</f>
        <v>4.4444444444444446E-2</v>
      </c>
      <c r="M3">
        <f>H3/$H$8</f>
        <v>9.8765432098765427E-2</v>
      </c>
      <c r="N3">
        <f>I3/$I$8</f>
        <v>3.7037037037037035E-2</v>
      </c>
      <c r="O3">
        <f t="shared" ref="O3:O27" si="1">AVERAGE(L3:N3)</f>
        <v>6.0082304526748974E-2</v>
      </c>
      <c r="P3">
        <f>STDEV(L3:N3)/SQRT(3)</f>
        <v>1.9459408094710921E-2</v>
      </c>
      <c r="R3" t="s">
        <v>20</v>
      </c>
      <c r="S3" t="s">
        <v>5</v>
      </c>
      <c r="T3" t="s">
        <v>6</v>
      </c>
      <c r="U3" t="s">
        <v>7</v>
      </c>
      <c r="V3" t="s">
        <v>8</v>
      </c>
    </row>
    <row r="4" spans="1:42" x14ac:dyDescent="0.3">
      <c r="A4" s="1">
        <v>5</v>
      </c>
      <c r="B4">
        <f>21-2</f>
        <v>19</v>
      </c>
      <c r="C4">
        <f>24-2</f>
        <v>22</v>
      </c>
      <c r="D4">
        <f>26-4</f>
        <v>22</v>
      </c>
      <c r="F4" s="1">
        <v>5</v>
      </c>
      <c r="G4">
        <f t="shared" ref="G4:G9" si="2">B4*2</f>
        <v>38</v>
      </c>
      <c r="H4">
        <f t="shared" si="0"/>
        <v>44</v>
      </c>
      <c r="I4">
        <f t="shared" si="0"/>
        <v>44</v>
      </c>
      <c r="K4" s="1">
        <v>5</v>
      </c>
      <c r="L4">
        <f t="shared" ref="L4:L27" si="3">G4/$G$8</f>
        <v>0.42222222222222222</v>
      </c>
      <c r="M4">
        <f t="shared" ref="M4:M27" si="4">H4/$H$8</f>
        <v>0.27160493827160492</v>
      </c>
      <c r="N4">
        <f t="shared" ref="N4:N27" si="5">I4/$I$8</f>
        <v>0.40740740740740738</v>
      </c>
      <c r="O4">
        <f t="shared" si="1"/>
        <v>0.36707818930041153</v>
      </c>
      <c r="P4">
        <f t="shared" ref="P4:P27" si="6">STDEV(L4:N4)/SQRT(3)</f>
        <v>4.7927813535936212E-2</v>
      </c>
      <c r="R4" t="s">
        <v>9</v>
      </c>
      <c r="S4" s="2">
        <v>0.98619999999999997</v>
      </c>
      <c r="T4" s="2">
        <v>2.8320000000000001E-2</v>
      </c>
      <c r="U4" s="2">
        <v>2.8719999999999999</v>
      </c>
      <c r="V4">
        <v>0.56207059999999998</v>
      </c>
    </row>
    <row r="5" spans="1:42" x14ac:dyDescent="0.3">
      <c r="A5" s="1">
        <v>10</v>
      </c>
      <c r="B5">
        <f>32-3</f>
        <v>29</v>
      </c>
      <c r="C5">
        <f>50-3</f>
        <v>47</v>
      </c>
      <c r="D5">
        <f>43-1</f>
        <v>42</v>
      </c>
      <c r="F5" s="1">
        <v>10</v>
      </c>
      <c r="G5">
        <f t="shared" si="2"/>
        <v>58</v>
      </c>
      <c r="H5">
        <f t="shared" si="0"/>
        <v>94</v>
      </c>
      <c r="I5">
        <f t="shared" si="0"/>
        <v>84</v>
      </c>
      <c r="K5" s="1">
        <v>10</v>
      </c>
      <c r="L5">
        <f t="shared" si="3"/>
        <v>0.64444444444444449</v>
      </c>
      <c r="M5">
        <f t="shared" si="4"/>
        <v>0.58024691358024694</v>
      </c>
      <c r="N5">
        <f t="shared" si="5"/>
        <v>0.77777777777777779</v>
      </c>
      <c r="O5">
        <f t="shared" si="1"/>
        <v>0.6674897119341564</v>
      </c>
      <c r="P5">
        <f t="shared" si="6"/>
        <v>5.8174805093241758E-2</v>
      </c>
      <c r="R5" t="s">
        <v>10</v>
      </c>
      <c r="S5" s="2">
        <v>1.5880000000000001</v>
      </c>
      <c r="T5" s="2">
        <v>0.2437</v>
      </c>
      <c r="U5" s="2">
        <v>15.35</v>
      </c>
      <c r="V5">
        <v>0.4156821</v>
      </c>
    </row>
    <row r="6" spans="1:42" x14ac:dyDescent="0.3">
      <c r="A6" s="1">
        <v>25</v>
      </c>
      <c r="B6">
        <f>34-1</f>
        <v>33</v>
      </c>
      <c r="C6">
        <f>80-1</f>
        <v>79</v>
      </c>
      <c r="D6">
        <f>48-4</f>
        <v>44</v>
      </c>
      <c r="F6" s="1">
        <v>25</v>
      </c>
      <c r="G6">
        <f t="shared" si="2"/>
        <v>66</v>
      </c>
      <c r="H6">
        <f t="shared" si="0"/>
        <v>158</v>
      </c>
      <c r="I6">
        <f t="shared" si="0"/>
        <v>88</v>
      </c>
      <c r="K6" s="1">
        <v>25</v>
      </c>
      <c r="L6">
        <f t="shared" si="3"/>
        <v>0.73333333333333328</v>
      </c>
      <c r="M6">
        <f t="shared" si="4"/>
        <v>0.97530864197530864</v>
      </c>
      <c r="N6">
        <f t="shared" si="5"/>
        <v>0.81481481481481477</v>
      </c>
      <c r="O6">
        <f t="shared" si="1"/>
        <v>0.84115226337448556</v>
      </c>
      <c r="P6">
        <f t="shared" si="6"/>
        <v>7.1082718001798995E-2</v>
      </c>
      <c r="R6" t="s">
        <v>11</v>
      </c>
      <c r="S6" s="2">
        <v>6.681</v>
      </c>
      <c r="T6" s="2">
        <v>0.57210000000000005</v>
      </c>
      <c r="U6" s="2">
        <v>8.5619999999999994</v>
      </c>
      <c r="V6">
        <v>0.31006020000000001</v>
      </c>
    </row>
    <row r="7" spans="1:42" x14ac:dyDescent="0.3">
      <c r="A7" s="1">
        <v>50</v>
      </c>
      <c r="B7">
        <f>44-6</f>
        <v>38</v>
      </c>
      <c r="C7">
        <f>77-2</f>
        <v>75</v>
      </c>
      <c r="D7">
        <f>68-4</f>
        <v>64</v>
      </c>
      <c r="F7" s="1">
        <v>50</v>
      </c>
      <c r="G7">
        <f t="shared" si="2"/>
        <v>76</v>
      </c>
      <c r="H7">
        <f t="shared" si="0"/>
        <v>150</v>
      </c>
      <c r="I7">
        <f t="shared" si="0"/>
        <v>128</v>
      </c>
      <c r="K7" s="1">
        <v>50</v>
      </c>
      <c r="L7">
        <f t="shared" si="3"/>
        <v>0.84444444444444444</v>
      </c>
      <c r="M7">
        <f t="shared" si="4"/>
        <v>0.92592592592592593</v>
      </c>
      <c r="N7">
        <f t="shared" si="5"/>
        <v>1.1851851851851851</v>
      </c>
      <c r="O7">
        <f t="shared" si="1"/>
        <v>0.98518518518518527</v>
      </c>
      <c r="P7">
        <f t="shared" si="6"/>
        <v>0.10272910648254127</v>
      </c>
    </row>
    <row r="8" spans="1:42" x14ac:dyDescent="0.3">
      <c r="A8" s="1">
        <v>100</v>
      </c>
      <c r="B8">
        <f>48-3</f>
        <v>45</v>
      </c>
      <c r="C8">
        <f>81-0</f>
        <v>81</v>
      </c>
      <c r="D8">
        <f>56-2</f>
        <v>54</v>
      </c>
      <c r="F8" s="1">
        <v>100</v>
      </c>
      <c r="G8">
        <f t="shared" si="2"/>
        <v>90</v>
      </c>
      <c r="H8">
        <f t="shared" si="0"/>
        <v>162</v>
      </c>
      <c r="I8">
        <f t="shared" si="0"/>
        <v>108</v>
      </c>
      <c r="K8" s="3">
        <v>100</v>
      </c>
      <c r="L8">
        <f t="shared" si="3"/>
        <v>1</v>
      </c>
      <c r="M8">
        <f t="shared" si="4"/>
        <v>1</v>
      </c>
      <c r="N8">
        <f t="shared" si="5"/>
        <v>1</v>
      </c>
      <c r="O8">
        <f t="shared" si="1"/>
        <v>1</v>
      </c>
      <c r="P8">
        <f t="shared" si="6"/>
        <v>0</v>
      </c>
      <c r="X8" s="48" t="s">
        <v>94</v>
      </c>
      <c r="Y8" s="48"/>
      <c r="Z8" s="48"/>
      <c r="AA8" s="48"/>
      <c r="AB8" s="24"/>
      <c r="AC8" s="48" t="s">
        <v>95</v>
      </c>
      <c r="AD8" s="48"/>
      <c r="AE8" s="48"/>
      <c r="AF8" s="48"/>
      <c r="AG8" s="48"/>
      <c r="AH8" s="48"/>
      <c r="AI8" s="24"/>
      <c r="AJ8" s="48" t="s">
        <v>29</v>
      </c>
      <c r="AK8" s="48"/>
      <c r="AL8" s="48"/>
      <c r="AM8" s="48"/>
      <c r="AN8" s="48"/>
      <c r="AO8" s="48"/>
      <c r="AP8" s="48"/>
    </row>
    <row r="9" spans="1:42" x14ac:dyDescent="0.3">
      <c r="A9" s="1">
        <v>150</v>
      </c>
      <c r="B9">
        <f>42-1</f>
        <v>41</v>
      </c>
      <c r="C9">
        <f>76-1</f>
        <v>75</v>
      </c>
      <c r="D9">
        <f>54-1</f>
        <v>53</v>
      </c>
      <c r="F9" s="1">
        <v>150</v>
      </c>
      <c r="G9">
        <f t="shared" si="2"/>
        <v>82</v>
      </c>
      <c r="H9">
        <f t="shared" si="0"/>
        <v>150</v>
      </c>
      <c r="I9">
        <f t="shared" si="0"/>
        <v>106</v>
      </c>
      <c r="K9" s="1">
        <v>150</v>
      </c>
      <c r="L9">
        <f t="shared" si="3"/>
        <v>0.91111111111111109</v>
      </c>
      <c r="M9">
        <f t="shared" si="4"/>
        <v>0.92592592592592593</v>
      </c>
      <c r="N9">
        <f t="shared" si="5"/>
        <v>0.98148148148148151</v>
      </c>
      <c r="O9">
        <f t="shared" si="1"/>
        <v>0.9395061728395061</v>
      </c>
      <c r="P9">
        <f t="shared" si="6"/>
        <v>2.1418952559132697E-2</v>
      </c>
      <c r="Z9" s="25"/>
    </row>
    <row r="10" spans="1:42" x14ac:dyDescent="0.3">
      <c r="A10" s="1"/>
      <c r="F10" s="1"/>
      <c r="K10" s="1"/>
      <c r="X10" s="43" t="s">
        <v>93</v>
      </c>
      <c r="Y10" s="43"/>
      <c r="Z10" s="43"/>
      <c r="AA10">
        <v>3.6911923225476011</v>
      </c>
      <c r="AB10" s="24"/>
      <c r="AD10" s="24"/>
      <c r="AE10" s="24"/>
      <c r="AF10" s="24"/>
      <c r="AG10" s="24"/>
    </row>
    <row r="11" spans="1:42" x14ac:dyDescent="0.3">
      <c r="A11" s="1" t="s">
        <v>0</v>
      </c>
      <c r="B11" t="s">
        <v>1</v>
      </c>
      <c r="C11" t="s">
        <v>2</v>
      </c>
      <c r="D11" t="s">
        <v>3</v>
      </c>
      <c r="F11" s="1" t="s">
        <v>0</v>
      </c>
      <c r="G11" t="s">
        <v>1</v>
      </c>
      <c r="H11" t="s">
        <v>2</v>
      </c>
      <c r="I11" t="s">
        <v>3</v>
      </c>
      <c r="K11" s="1" t="s">
        <v>0</v>
      </c>
      <c r="L11" t="s">
        <v>1</v>
      </c>
      <c r="M11" t="s">
        <v>2</v>
      </c>
      <c r="N11" t="s">
        <v>3</v>
      </c>
      <c r="O11" s="1" t="s">
        <v>18</v>
      </c>
      <c r="P11" s="1" t="s">
        <v>92</v>
      </c>
      <c r="X11" s="1" t="s">
        <v>0</v>
      </c>
      <c r="Y11" t="s">
        <v>1</v>
      </c>
      <c r="Z11" t="s">
        <v>2</v>
      </c>
      <c r="AA11" t="s">
        <v>3</v>
      </c>
      <c r="AC11" s="1" t="s">
        <v>0</v>
      </c>
      <c r="AD11" t="s">
        <v>1</v>
      </c>
      <c r="AE11" t="s">
        <v>2</v>
      </c>
      <c r="AF11" t="s">
        <v>3</v>
      </c>
      <c r="AG11" s="1" t="s">
        <v>18</v>
      </c>
      <c r="AH11" s="1" t="s">
        <v>92</v>
      </c>
    </row>
    <row r="12" spans="1:42" x14ac:dyDescent="0.3">
      <c r="A12" s="1">
        <v>1</v>
      </c>
      <c r="B12">
        <f>12-2</f>
        <v>10</v>
      </c>
      <c r="C12">
        <f>17-3</f>
        <v>14</v>
      </c>
      <c r="D12">
        <f>2-3</f>
        <v>-1</v>
      </c>
      <c r="F12" s="1">
        <v>1</v>
      </c>
      <c r="G12">
        <f>B12*2</f>
        <v>20</v>
      </c>
      <c r="H12">
        <f t="shared" ref="H12:I18" si="7">C12*2</f>
        <v>28</v>
      </c>
      <c r="I12">
        <f t="shared" si="7"/>
        <v>-2</v>
      </c>
      <c r="K12" s="1">
        <v>1</v>
      </c>
      <c r="L12">
        <f>G12/$G$8</f>
        <v>0.22222222222222221</v>
      </c>
      <c r="M12">
        <f>H12/$H$8</f>
        <v>0.1728395061728395</v>
      </c>
      <c r="N12">
        <f>I12/$I$8</f>
        <v>-1.8518518518518517E-2</v>
      </c>
      <c r="O12">
        <f>AVERAGE(L12:N12)</f>
        <v>0.12551440329218108</v>
      </c>
      <c r="P12">
        <f t="shared" si="6"/>
        <v>7.3413838579881791E-2</v>
      </c>
      <c r="R12" t="s">
        <v>20</v>
      </c>
      <c r="S12" t="s">
        <v>5</v>
      </c>
      <c r="T12" t="s">
        <v>6</v>
      </c>
      <c r="U12" t="s">
        <v>7</v>
      </c>
      <c r="V12" t="s">
        <v>8</v>
      </c>
      <c r="X12" s="1">
        <v>1</v>
      </c>
      <c r="Y12">
        <f>G12*$AA$10</f>
        <v>73.823846450952018</v>
      </c>
      <c r="Z12">
        <f t="shared" ref="Z12:AA12" si="8">H12*$AA$10</f>
        <v>103.35338503133283</v>
      </c>
      <c r="AA12">
        <f t="shared" si="8"/>
        <v>-7.3823846450952022</v>
      </c>
      <c r="AC12" s="1">
        <v>1</v>
      </c>
      <c r="AD12">
        <f t="shared" ref="AD12:AF18" si="9">Y12/Y$14</f>
        <v>0.34482758620689657</v>
      </c>
      <c r="AE12">
        <f t="shared" si="9"/>
        <v>0.31111111111111112</v>
      </c>
      <c r="AF12">
        <f t="shared" si="9"/>
        <v>-2.8571428571428574E-2</v>
      </c>
      <c r="AG12">
        <f t="shared" ref="AG12:AG18" si="10">AVERAGE(AD12:AF12)</f>
        <v>0.20912242291552638</v>
      </c>
      <c r="AH12">
        <f t="shared" ref="AH12:AH18" si="11">STDEV(AD12:AF12)/SQRT(3)</f>
        <v>0.11924481183577497</v>
      </c>
      <c r="AJ12" t="s">
        <v>20</v>
      </c>
      <c r="AK12" t="s">
        <v>5</v>
      </c>
      <c r="AL12" t="s">
        <v>6</v>
      </c>
      <c r="AM12" t="s">
        <v>7</v>
      </c>
      <c r="AN12" t="s">
        <v>8</v>
      </c>
    </row>
    <row r="13" spans="1:42" x14ac:dyDescent="0.3">
      <c r="A13" s="1">
        <v>5</v>
      </c>
      <c r="B13">
        <f>23-1</f>
        <v>22</v>
      </c>
      <c r="C13">
        <f>32-4</f>
        <v>28</v>
      </c>
      <c r="D13">
        <f>22-2</f>
        <v>20</v>
      </c>
      <c r="F13" s="1">
        <v>5</v>
      </c>
      <c r="G13">
        <f t="shared" ref="G13:G18" si="12">B13*2</f>
        <v>44</v>
      </c>
      <c r="H13">
        <f t="shared" si="7"/>
        <v>56</v>
      </c>
      <c r="I13">
        <f t="shared" si="7"/>
        <v>40</v>
      </c>
      <c r="K13" s="1">
        <v>5</v>
      </c>
      <c r="L13">
        <f t="shared" ref="L13:L18" si="13">G13/$G$8</f>
        <v>0.48888888888888887</v>
      </c>
      <c r="M13">
        <f t="shared" ref="M13:M18" si="14">H13/$H$8</f>
        <v>0.34567901234567899</v>
      </c>
      <c r="N13">
        <f t="shared" ref="N13:N18" si="15">I13/$I$8</f>
        <v>0.37037037037037035</v>
      </c>
      <c r="O13">
        <f t="shared" ref="O13:O18" si="16">AVERAGE(L13:N13)</f>
        <v>0.40164609053497946</v>
      </c>
      <c r="P13">
        <f>STDEV(L13:N13)/SQRT(3)</f>
        <v>4.4199906443119205E-2</v>
      </c>
      <c r="R13" t="s">
        <v>9</v>
      </c>
      <c r="S13" s="2">
        <v>0.59079999999999999</v>
      </c>
      <c r="T13" s="2">
        <v>5.7570000000000003E-2</v>
      </c>
      <c r="U13" s="2">
        <v>9.7439999999999998</v>
      </c>
      <c r="V13">
        <v>0.5650482</v>
      </c>
      <c r="X13" s="1">
        <v>5</v>
      </c>
      <c r="Y13">
        <f t="shared" ref="Y13:Y18" si="17">G13*$AA$10</f>
        <v>162.41246219209444</v>
      </c>
      <c r="Z13">
        <f t="shared" ref="Z13:Z18" si="18">H13*$AA$10</f>
        <v>206.70677006266567</v>
      </c>
      <c r="AA13">
        <f t="shared" ref="AA13:AA18" si="19">I13*$AA$10</f>
        <v>147.64769290190404</v>
      </c>
      <c r="AC13" s="1">
        <v>5</v>
      </c>
      <c r="AD13">
        <f t="shared" si="9"/>
        <v>0.75862068965517238</v>
      </c>
      <c r="AE13">
        <f t="shared" si="9"/>
        <v>0.62222222222222223</v>
      </c>
      <c r="AF13">
        <f t="shared" si="9"/>
        <v>0.5714285714285714</v>
      </c>
      <c r="AG13">
        <f t="shared" si="10"/>
        <v>0.65075716110198867</v>
      </c>
      <c r="AH13">
        <f t="shared" si="11"/>
        <v>5.5889487187348597E-2</v>
      </c>
      <c r="AJ13" t="s">
        <v>9</v>
      </c>
      <c r="AK13" s="2">
        <v>0.95909999999999995</v>
      </c>
      <c r="AL13" s="2">
        <v>9.5170000000000005E-2</v>
      </c>
      <c r="AM13" s="2">
        <v>9.923</v>
      </c>
      <c r="AN13">
        <v>0.57090980000000002</v>
      </c>
    </row>
    <row r="14" spans="1:42" x14ac:dyDescent="0.3">
      <c r="A14" s="1">
        <v>10</v>
      </c>
      <c r="B14">
        <f>32-3</f>
        <v>29</v>
      </c>
      <c r="C14">
        <f>45-0</f>
        <v>45</v>
      </c>
      <c r="D14">
        <f>37-2</f>
        <v>35</v>
      </c>
      <c r="F14" s="1">
        <v>10</v>
      </c>
      <c r="G14">
        <f t="shared" si="12"/>
        <v>58</v>
      </c>
      <c r="H14">
        <f t="shared" si="7"/>
        <v>90</v>
      </c>
      <c r="I14">
        <f t="shared" si="7"/>
        <v>70</v>
      </c>
      <c r="K14" s="3">
        <v>10</v>
      </c>
      <c r="L14">
        <f t="shared" si="13"/>
        <v>0.64444444444444449</v>
      </c>
      <c r="M14">
        <f t="shared" si="14"/>
        <v>0.55555555555555558</v>
      </c>
      <c r="N14">
        <f t="shared" si="15"/>
        <v>0.64814814814814814</v>
      </c>
      <c r="O14">
        <f t="shared" si="16"/>
        <v>0.61604938271604948</v>
      </c>
      <c r="P14">
        <f t="shared" si="6"/>
        <v>3.0265804128719168E-2</v>
      </c>
      <c r="R14" t="s">
        <v>10</v>
      </c>
      <c r="S14" s="2">
        <v>1.6240000000000001</v>
      </c>
      <c r="T14" s="2">
        <v>0.64980000000000004</v>
      </c>
      <c r="U14" s="2">
        <v>40.01</v>
      </c>
      <c r="V14">
        <v>0.37552950000000002</v>
      </c>
      <c r="X14" s="3">
        <v>10</v>
      </c>
      <c r="Y14">
        <f t="shared" si="17"/>
        <v>214.08915470776085</v>
      </c>
      <c r="Z14">
        <f t="shared" si="18"/>
        <v>332.20730902928409</v>
      </c>
      <c r="AA14">
        <f t="shared" si="19"/>
        <v>258.38346257833206</v>
      </c>
      <c r="AC14" s="3">
        <v>10</v>
      </c>
      <c r="AD14">
        <f t="shared" si="9"/>
        <v>1</v>
      </c>
      <c r="AE14">
        <f t="shared" si="9"/>
        <v>1</v>
      </c>
      <c r="AF14">
        <f t="shared" si="9"/>
        <v>1</v>
      </c>
      <c r="AG14">
        <f t="shared" si="10"/>
        <v>1</v>
      </c>
      <c r="AH14">
        <f t="shared" si="11"/>
        <v>0</v>
      </c>
      <c r="AJ14" t="s">
        <v>10</v>
      </c>
      <c r="AK14" s="2">
        <v>1.6060000000000001</v>
      </c>
      <c r="AL14" s="2">
        <v>0.65180000000000005</v>
      </c>
      <c r="AM14" s="2">
        <v>40.58</v>
      </c>
      <c r="AN14">
        <v>0.38093749999999998</v>
      </c>
    </row>
    <row r="15" spans="1:42" x14ac:dyDescent="0.3">
      <c r="A15" s="1">
        <v>25</v>
      </c>
      <c r="B15">
        <f>34-2</f>
        <v>32</v>
      </c>
      <c r="C15">
        <f>50-2</f>
        <v>48</v>
      </c>
      <c r="D15">
        <f>21-1</f>
        <v>20</v>
      </c>
      <c r="F15" s="1">
        <v>25</v>
      </c>
      <c r="G15">
        <f t="shared" si="12"/>
        <v>64</v>
      </c>
      <c r="H15">
        <f t="shared" si="7"/>
        <v>96</v>
      </c>
      <c r="I15">
        <f t="shared" si="7"/>
        <v>40</v>
      </c>
      <c r="K15" s="1">
        <v>25</v>
      </c>
      <c r="L15">
        <f t="shared" si="13"/>
        <v>0.71111111111111114</v>
      </c>
      <c r="M15">
        <f t="shared" si="14"/>
        <v>0.59259259259259256</v>
      </c>
      <c r="N15">
        <f t="shared" si="15"/>
        <v>0.37037037037037035</v>
      </c>
      <c r="O15">
        <f t="shared" si="16"/>
        <v>0.55802469135802468</v>
      </c>
      <c r="P15">
        <f t="shared" si="6"/>
        <v>9.9870362548921884E-2</v>
      </c>
      <c r="R15" t="s">
        <v>11</v>
      </c>
      <c r="S15" s="2">
        <v>2.4710000000000001</v>
      </c>
      <c r="T15" s="2">
        <v>0.8861</v>
      </c>
      <c r="U15" s="2">
        <v>35.86</v>
      </c>
      <c r="V15">
        <v>0.36268099999999998</v>
      </c>
      <c r="X15" s="1">
        <v>25</v>
      </c>
      <c r="Y15">
        <f t="shared" si="17"/>
        <v>236.23630864304647</v>
      </c>
      <c r="Z15">
        <f t="shared" si="18"/>
        <v>354.35446296456973</v>
      </c>
      <c r="AA15">
        <f t="shared" si="19"/>
        <v>147.64769290190404</v>
      </c>
      <c r="AC15" s="1">
        <v>25</v>
      </c>
      <c r="AD15">
        <f t="shared" si="9"/>
        <v>1.103448275862069</v>
      </c>
      <c r="AE15">
        <f t="shared" si="9"/>
        <v>1.0666666666666669</v>
      </c>
      <c r="AF15">
        <f t="shared" si="9"/>
        <v>0.5714285714285714</v>
      </c>
      <c r="AG15">
        <f t="shared" si="10"/>
        <v>0.91384783798576896</v>
      </c>
      <c r="AH15">
        <f t="shared" si="11"/>
        <v>0.17153856444536286</v>
      </c>
      <c r="AJ15" t="s">
        <v>11</v>
      </c>
      <c r="AK15" s="2">
        <v>2.444</v>
      </c>
      <c r="AL15" s="2">
        <v>0.89270000000000005</v>
      </c>
      <c r="AM15" s="2">
        <v>36.53</v>
      </c>
      <c r="AN15">
        <v>0.36669259999999998</v>
      </c>
    </row>
    <row r="16" spans="1:42" x14ac:dyDescent="0.3">
      <c r="A16" s="1">
        <v>50</v>
      </c>
      <c r="B16">
        <f>30-1</f>
        <v>29</v>
      </c>
      <c r="C16">
        <f>38-4</f>
        <v>34</v>
      </c>
      <c r="D16">
        <f>35-1</f>
        <v>34</v>
      </c>
      <c r="F16" s="1">
        <v>50</v>
      </c>
      <c r="G16">
        <f t="shared" si="12"/>
        <v>58</v>
      </c>
      <c r="H16">
        <f t="shared" si="7"/>
        <v>68</v>
      </c>
      <c r="I16">
        <f t="shared" si="7"/>
        <v>68</v>
      </c>
      <c r="K16" s="1">
        <v>50</v>
      </c>
      <c r="L16">
        <f t="shared" si="13"/>
        <v>0.64444444444444449</v>
      </c>
      <c r="M16">
        <f t="shared" si="14"/>
        <v>0.41975308641975306</v>
      </c>
      <c r="N16">
        <f t="shared" si="15"/>
        <v>0.62962962962962965</v>
      </c>
      <c r="O16">
        <f t="shared" si="16"/>
        <v>0.56460905349794244</v>
      </c>
      <c r="P16">
        <f t="shared" si="6"/>
        <v>7.2554136300919891E-2</v>
      </c>
      <c r="R16" s="4"/>
      <c r="S16" s="4"/>
      <c r="T16" s="4"/>
      <c r="U16" s="4"/>
      <c r="V16" s="4"/>
      <c r="W16" s="4"/>
      <c r="X16" s="1">
        <v>50</v>
      </c>
      <c r="Y16">
        <f t="shared" si="17"/>
        <v>214.08915470776085</v>
      </c>
      <c r="Z16">
        <f t="shared" si="18"/>
        <v>251.00107793323687</v>
      </c>
      <c r="AA16">
        <f t="shared" si="19"/>
        <v>251.00107793323687</v>
      </c>
      <c r="AC16" s="1">
        <v>50</v>
      </c>
      <c r="AD16">
        <f t="shared" si="9"/>
        <v>1</v>
      </c>
      <c r="AE16">
        <f t="shared" si="9"/>
        <v>0.75555555555555554</v>
      </c>
      <c r="AF16">
        <f t="shared" si="9"/>
        <v>0.97142857142857153</v>
      </c>
      <c r="AG16">
        <f t="shared" si="10"/>
        <v>0.90899470899470902</v>
      </c>
      <c r="AH16">
        <f t="shared" si="11"/>
        <v>7.7161652800568054E-2</v>
      </c>
      <c r="AJ16" s="4"/>
      <c r="AK16" s="4"/>
      <c r="AL16" s="4"/>
      <c r="AM16" s="4"/>
      <c r="AN16" s="4"/>
      <c r="AO16" s="4"/>
    </row>
    <row r="17" spans="1:41" s="20" customFormat="1" ht="15" customHeight="1" x14ac:dyDescent="0.3">
      <c r="A17" s="1">
        <v>100</v>
      </c>
      <c r="B17" s="20">
        <f>18-1</f>
        <v>17</v>
      </c>
      <c r="C17" s="20">
        <f>27-0</f>
        <v>27</v>
      </c>
      <c r="D17" s="20">
        <f>26-2</f>
        <v>24</v>
      </c>
      <c r="F17" s="1">
        <v>100</v>
      </c>
      <c r="G17" s="20">
        <f t="shared" si="12"/>
        <v>34</v>
      </c>
      <c r="H17" s="20">
        <f t="shared" si="7"/>
        <v>54</v>
      </c>
      <c r="I17" s="20">
        <f t="shared" si="7"/>
        <v>48</v>
      </c>
      <c r="K17" s="1">
        <v>100</v>
      </c>
      <c r="L17" s="20">
        <f t="shared" si="13"/>
        <v>0.37777777777777777</v>
      </c>
      <c r="M17" s="20">
        <f t="shared" si="14"/>
        <v>0.33333333333333331</v>
      </c>
      <c r="N17" s="20">
        <f t="shared" si="15"/>
        <v>0.44444444444444442</v>
      </c>
      <c r="O17" s="20">
        <f t="shared" si="16"/>
        <v>0.38518518518518513</v>
      </c>
      <c r="P17" s="20">
        <f t="shared" si="6"/>
        <v>3.2288140322523681E-2</v>
      </c>
      <c r="R17" s="4"/>
      <c r="S17" s="4"/>
      <c r="T17" s="4"/>
      <c r="U17" s="4"/>
      <c r="V17" s="4"/>
      <c r="W17" s="4"/>
      <c r="X17" s="1">
        <v>100</v>
      </c>
      <c r="Y17" s="20">
        <f t="shared" si="17"/>
        <v>125.50053896661844</v>
      </c>
      <c r="Z17" s="20">
        <f t="shared" si="18"/>
        <v>199.32438541757045</v>
      </c>
      <c r="AA17" s="20">
        <f t="shared" si="19"/>
        <v>177.17723148228487</v>
      </c>
      <c r="AC17" s="1">
        <v>100</v>
      </c>
      <c r="AD17" s="20">
        <f t="shared" si="9"/>
        <v>0.5862068965517242</v>
      </c>
      <c r="AE17" s="20">
        <f t="shared" si="9"/>
        <v>0.6</v>
      </c>
      <c r="AF17" s="20">
        <f t="shared" si="9"/>
        <v>0.68571428571428583</v>
      </c>
      <c r="AG17" s="20">
        <f t="shared" si="10"/>
        <v>0.62397372742200341</v>
      </c>
      <c r="AH17" s="20">
        <f t="shared" si="11"/>
        <v>3.1126006432808776E-2</v>
      </c>
      <c r="AJ17" s="4"/>
      <c r="AK17" s="4"/>
      <c r="AL17" s="4"/>
      <c r="AM17" s="4"/>
      <c r="AN17" s="4"/>
      <c r="AO17" s="4"/>
    </row>
    <row r="18" spans="1:41" s="20" customFormat="1" x14ac:dyDescent="0.3">
      <c r="A18" s="1">
        <v>150</v>
      </c>
      <c r="B18" s="20">
        <f>13-3</f>
        <v>10</v>
      </c>
      <c r="C18" s="20">
        <f>25-1</f>
        <v>24</v>
      </c>
      <c r="D18" s="20">
        <f>25-2</f>
        <v>23</v>
      </c>
      <c r="F18" s="1">
        <v>150</v>
      </c>
      <c r="G18" s="20">
        <f t="shared" si="12"/>
        <v>20</v>
      </c>
      <c r="H18" s="20">
        <f t="shared" si="7"/>
        <v>48</v>
      </c>
      <c r="I18" s="20">
        <f t="shared" si="7"/>
        <v>46</v>
      </c>
      <c r="K18" s="1">
        <v>150</v>
      </c>
      <c r="L18" s="20">
        <f t="shared" si="13"/>
        <v>0.22222222222222221</v>
      </c>
      <c r="M18" s="20">
        <f t="shared" si="14"/>
        <v>0.29629629629629628</v>
      </c>
      <c r="N18" s="20">
        <f t="shared" si="15"/>
        <v>0.42592592592592593</v>
      </c>
      <c r="O18" s="20">
        <f t="shared" si="16"/>
        <v>0.31481481481481483</v>
      </c>
      <c r="P18" s="20">
        <f t="shared" si="6"/>
        <v>5.952870840119108E-2</v>
      </c>
      <c r="R18" s="4"/>
      <c r="S18" s="4"/>
      <c r="T18" s="4"/>
      <c r="U18" s="4"/>
      <c r="V18" s="4"/>
      <c r="W18" s="4"/>
      <c r="X18" s="1">
        <v>150</v>
      </c>
      <c r="Y18" s="20">
        <f t="shared" si="17"/>
        <v>73.823846450952018</v>
      </c>
      <c r="Z18" s="20">
        <f t="shared" si="18"/>
        <v>177.17723148228487</v>
      </c>
      <c r="AA18" s="20">
        <f t="shared" si="19"/>
        <v>169.79484683718965</v>
      </c>
      <c r="AC18" s="1">
        <v>150</v>
      </c>
      <c r="AD18" s="20">
        <f t="shared" si="9"/>
        <v>0.34482758620689657</v>
      </c>
      <c r="AE18" s="20">
        <f t="shared" si="9"/>
        <v>0.53333333333333344</v>
      </c>
      <c r="AF18" s="20">
        <f t="shared" si="9"/>
        <v>0.65714285714285725</v>
      </c>
      <c r="AG18" s="20">
        <f t="shared" si="10"/>
        <v>0.51176792556102912</v>
      </c>
      <c r="AH18" s="20">
        <f t="shared" si="11"/>
        <v>9.0800160103089333E-2</v>
      </c>
      <c r="AJ18" s="4"/>
      <c r="AK18" s="4"/>
      <c r="AL18" s="4"/>
      <c r="AM18" s="4"/>
      <c r="AN18" s="4"/>
      <c r="AO18" s="4"/>
    </row>
    <row r="19" spans="1:41" x14ac:dyDescent="0.3">
      <c r="A19" s="1"/>
      <c r="F19" s="1"/>
      <c r="K19" s="1"/>
      <c r="X19" s="43" t="s">
        <v>93</v>
      </c>
      <c r="Y19" s="43"/>
      <c r="Z19" s="43"/>
      <c r="AA19">
        <v>1.3851637920341076</v>
      </c>
      <c r="AB19" s="24"/>
      <c r="AD19" s="24"/>
      <c r="AE19" s="24"/>
      <c r="AF19" s="24"/>
      <c r="AG19" s="24"/>
      <c r="AO19" s="4"/>
    </row>
    <row r="20" spans="1:41" x14ac:dyDescent="0.3">
      <c r="A20" s="1" t="s">
        <v>23</v>
      </c>
      <c r="B20" t="s">
        <v>1</v>
      </c>
      <c r="C20" t="s">
        <v>2</v>
      </c>
      <c r="D20" t="s">
        <v>3</v>
      </c>
      <c r="F20" s="1" t="s">
        <v>23</v>
      </c>
      <c r="G20" t="s">
        <v>1</v>
      </c>
      <c r="H20" t="s">
        <v>2</v>
      </c>
      <c r="I20" t="s">
        <v>3</v>
      </c>
      <c r="K20" s="1" t="s">
        <v>23</v>
      </c>
      <c r="L20" t="s">
        <v>14</v>
      </c>
      <c r="M20" t="s">
        <v>15</v>
      </c>
      <c r="N20" t="s">
        <v>16</v>
      </c>
      <c r="O20" s="1" t="s">
        <v>18</v>
      </c>
      <c r="P20" s="1" t="s">
        <v>92</v>
      </c>
      <c r="X20" s="1" t="s">
        <v>23</v>
      </c>
      <c r="Y20" t="s">
        <v>1</v>
      </c>
      <c r="Z20" t="s">
        <v>2</v>
      </c>
      <c r="AA20" t="s">
        <v>3</v>
      </c>
      <c r="AC20" s="1" t="s">
        <v>23</v>
      </c>
      <c r="AD20" t="s">
        <v>14</v>
      </c>
      <c r="AE20" t="s">
        <v>15</v>
      </c>
      <c r="AF20" t="s">
        <v>16</v>
      </c>
      <c r="AG20" s="1" t="s">
        <v>18</v>
      </c>
      <c r="AH20" s="1" t="s">
        <v>92</v>
      </c>
    </row>
    <row r="21" spans="1:41" x14ac:dyDescent="0.3">
      <c r="A21" s="1">
        <v>1</v>
      </c>
      <c r="B21">
        <f>8-2</f>
        <v>6</v>
      </c>
      <c r="C21">
        <f>11-2</f>
        <v>9</v>
      </c>
      <c r="D21">
        <f>3-1</f>
        <v>2</v>
      </c>
      <c r="F21" s="1">
        <v>1</v>
      </c>
      <c r="G21">
        <f>B21*2</f>
        <v>12</v>
      </c>
      <c r="H21">
        <f t="shared" ref="H21:I27" si="20">C21*2</f>
        <v>18</v>
      </c>
      <c r="I21">
        <f t="shared" si="20"/>
        <v>4</v>
      </c>
      <c r="K21" s="1">
        <v>1</v>
      </c>
      <c r="L21">
        <f>G21/$G$8</f>
        <v>0.13333333333333333</v>
      </c>
      <c r="M21">
        <f t="shared" si="4"/>
        <v>0.1111111111111111</v>
      </c>
      <c r="N21">
        <f t="shared" si="5"/>
        <v>3.7037037037037035E-2</v>
      </c>
      <c r="O21">
        <f t="shared" si="1"/>
        <v>9.3827160493827153E-2</v>
      </c>
      <c r="P21">
        <f>STDEV(L21:N21)/SQRT(3)</f>
        <v>2.9110681784078035E-2</v>
      </c>
      <c r="R21" t="s">
        <v>20</v>
      </c>
      <c r="S21" t="s">
        <v>5</v>
      </c>
      <c r="T21" t="s">
        <v>6</v>
      </c>
      <c r="U21" t="s">
        <v>7</v>
      </c>
      <c r="V21" t="s">
        <v>8</v>
      </c>
      <c r="X21" s="1">
        <v>1</v>
      </c>
      <c r="Y21">
        <f>G21*$AA$19</f>
        <v>16.621965504409289</v>
      </c>
      <c r="Z21">
        <f t="shared" ref="Z21:AA21" si="21">H21*$AA$19</f>
        <v>24.932948256613937</v>
      </c>
      <c r="AA21">
        <f t="shared" si="21"/>
        <v>5.5406551681364302</v>
      </c>
      <c r="AC21" s="1">
        <v>1</v>
      </c>
      <c r="AD21">
        <f t="shared" ref="AD21:AF27" si="22">Y21/Y$26</f>
        <v>0.11999999999999998</v>
      </c>
      <c r="AE21">
        <f t="shared" si="22"/>
        <v>0.12857142857142856</v>
      </c>
      <c r="AF21">
        <f t="shared" si="22"/>
        <v>3.5714285714285719E-2</v>
      </c>
      <c r="AG21">
        <f t="shared" ref="AG21:AG27" si="23">AVERAGE(AD21:AF21)</f>
        <v>9.4761904761904756E-2</v>
      </c>
      <c r="AH21">
        <f t="shared" ref="AH21:AH27" si="24">STDEV(AD21:AF21)/SQRT(3)</f>
        <v>2.9627314724385297E-2</v>
      </c>
      <c r="AJ21" t="s">
        <v>20</v>
      </c>
      <c r="AK21" t="s">
        <v>5</v>
      </c>
      <c r="AL21" t="s">
        <v>6</v>
      </c>
      <c r="AM21" t="s">
        <v>7</v>
      </c>
      <c r="AN21" t="s">
        <v>8</v>
      </c>
    </row>
    <row r="22" spans="1:41" x14ac:dyDescent="0.3">
      <c r="A22" s="1">
        <v>5</v>
      </c>
      <c r="B22">
        <f>18-3</f>
        <v>15</v>
      </c>
      <c r="C22">
        <f>20-0</f>
        <v>20</v>
      </c>
      <c r="D22">
        <f>25-3</f>
        <v>22</v>
      </c>
      <c r="F22" s="1">
        <v>5</v>
      </c>
      <c r="G22">
        <f t="shared" ref="G22:G27" si="25">B22*2</f>
        <v>30</v>
      </c>
      <c r="H22">
        <f t="shared" si="20"/>
        <v>40</v>
      </c>
      <c r="I22">
        <f t="shared" si="20"/>
        <v>44</v>
      </c>
      <c r="K22" s="1">
        <v>5</v>
      </c>
      <c r="L22">
        <f t="shared" si="3"/>
        <v>0.33333333333333331</v>
      </c>
      <c r="M22">
        <f t="shared" si="4"/>
        <v>0.24691358024691357</v>
      </c>
      <c r="N22">
        <f t="shared" si="5"/>
        <v>0.40740740740740738</v>
      </c>
      <c r="O22">
        <f t="shared" si="1"/>
        <v>0.32921810699588477</v>
      </c>
      <c r="P22">
        <f t="shared" si="6"/>
        <v>4.6376245553846236E-2</v>
      </c>
      <c r="R22" t="s">
        <v>9</v>
      </c>
      <c r="S22" s="2">
        <v>0.98680000000000001</v>
      </c>
      <c r="T22" s="2">
        <v>0.1062</v>
      </c>
      <c r="U22" s="2">
        <v>10.76</v>
      </c>
      <c r="V22">
        <v>0.74838380000000004</v>
      </c>
      <c r="X22" s="1">
        <v>5</v>
      </c>
      <c r="Y22">
        <f t="shared" ref="Y22:Y27" si="26">G22*$AA$19</f>
        <v>41.554913761023229</v>
      </c>
      <c r="Z22">
        <f t="shared" ref="Z22:Z27" si="27">H22*$AA$19</f>
        <v>55.406551681364306</v>
      </c>
      <c r="AA22">
        <f t="shared" ref="AA22:AA27" si="28">I22*$AA$19</f>
        <v>60.947206849500731</v>
      </c>
      <c r="AC22" s="1">
        <v>5</v>
      </c>
      <c r="AD22">
        <f t="shared" si="22"/>
        <v>0.3</v>
      </c>
      <c r="AE22">
        <f t="shared" si="22"/>
        <v>0.2857142857142857</v>
      </c>
      <c r="AF22">
        <f t="shared" si="22"/>
        <v>0.39285714285714285</v>
      </c>
      <c r="AG22">
        <f t="shared" si="23"/>
        <v>0.32619047619047614</v>
      </c>
      <c r="AH22">
        <f t="shared" si="24"/>
        <v>3.3587466618252355E-2</v>
      </c>
      <c r="AJ22" t="s">
        <v>9</v>
      </c>
      <c r="AK22" s="2">
        <v>0.98509999999999998</v>
      </c>
      <c r="AL22" s="2">
        <v>0.10589999999999999</v>
      </c>
      <c r="AM22" s="2">
        <v>10.75</v>
      </c>
      <c r="AN22">
        <v>0.75345620000000002</v>
      </c>
    </row>
    <row r="23" spans="1:41" x14ac:dyDescent="0.3">
      <c r="A23" s="1">
        <v>10</v>
      </c>
      <c r="B23">
        <f>25-2</f>
        <v>23</v>
      </c>
      <c r="C23">
        <f>25-1</f>
        <v>24</v>
      </c>
      <c r="D23">
        <f>25-1</f>
        <v>24</v>
      </c>
      <c r="F23" s="1">
        <v>10</v>
      </c>
      <c r="G23">
        <f t="shared" si="25"/>
        <v>46</v>
      </c>
      <c r="H23">
        <f t="shared" si="20"/>
        <v>48</v>
      </c>
      <c r="I23">
        <f t="shared" si="20"/>
        <v>48</v>
      </c>
      <c r="K23" s="1">
        <v>10</v>
      </c>
      <c r="L23">
        <f t="shared" si="3"/>
        <v>0.51111111111111107</v>
      </c>
      <c r="M23">
        <f t="shared" si="4"/>
        <v>0.29629629629629628</v>
      </c>
      <c r="N23">
        <f t="shared" si="5"/>
        <v>0.44444444444444442</v>
      </c>
      <c r="O23">
        <f t="shared" si="1"/>
        <v>0.41728395061728391</v>
      </c>
      <c r="P23">
        <f t="shared" si="6"/>
        <v>6.3481284603370214E-2</v>
      </c>
      <c r="R23" t="s">
        <v>10</v>
      </c>
      <c r="S23" s="2">
        <v>1.3180000000000001</v>
      </c>
      <c r="T23" s="2">
        <v>0.50609999999999999</v>
      </c>
      <c r="U23" s="2">
        <v>38.39</v>
      </c>
      <c r="V23">
        <v>0.57316679999999998</v>
      </c>
      <c r="X23" s="1">
        <v>10</v>
      </c>
      <c r="Y23">
        <f t="shared" si="26"/>
        <v>63.71753443356895</v>
      </c>
      <c r="Z23">
        <f t="shared" si="27"/>
        <v>66.487862017637156</v>
      </c>
      <c r="AA23">
        <f t="shared" si="28"/>
        <v>66.487862017637156</v>
      </c>
      <c r="AC23" s="1">
        <v>10</v>
      </c>
      <c r="AD23">
        <f t="shared" si="22"/>
        <v>0.45999999999999996</v>
      </c>
      <c r="AE23">
        <f t="shared" si="22"/>
        <v>0.3428571428571428</v>
      </c>
      <c r="AF23">
        <f t="shared" si="22"/>
        <v>0.42857142857142855</v>
      </c>
      <c r="AG23">
        <f t="shared" si="23"/>
        <v>0.41047619047619044</v>
      </c>
      <c r="AH23">
        <f t="shared" si="24"/>
        <v>3.5005668475217189E-2</v>
      </c>
      <c r="AJ23" t="s">
        <v>10</v>
      </c>
      <c r="AK23" s="2">
        <v>1.3120000000000001</v>
      </c>
      <c r="AL23" s="2">
        <v>0.49619999999999997</v>
      </c>
      <c r="AM23" s="2">
        <v>37.83</v>
      </c>
      <c r="AN23">
        <v>0.57793289999999997</v>
      </c>
    </row>
    <row r="24" spans="1:41" x14ac:dyDescent="0.3">
      <c r="A24" s="1">
        <v>25</v>
      </c>
      <c r="B24">
        <f>56-4</f>
        <v>52</v>
      </c>
      <c r="C24">
        <f>61-1</f>
        <v>60</v>
      </c>
      <c r="D24">
        <f>21-2</f>
        <v>19</v>
      </c>
      <c r="F24" s="1">
        <v>25</v>
      </c>
      <c r="G24">
        <f t="shared" si="25"/>
        <v>104</v>
      </c>
      <c r="H24">
        <f t="shared" si="20"/>
        <v>120</v>
      </c>
      <c r="I24">
        <f t="shared" si="20"/>
        <v>38</v>
      </c>
      <c r="K24" s="1">
        <v>25</v>
      </c>
      <c r="L24">
        <f t="shared" si="3"/>
        <v>1.1555555555555554</v>
      </c>
      <c r="M24">
        <f t="shared" si="4"/>
        <v>0.7407407407407407</v>
      </c>
      <c r="N24">
        <f t="shared" si="5"/>
        <v>0.35185185185185186</v>
      </c>
      <c r="O24">
        <f t="shared" si="1"/>
        <v>0.74938271604938267</v>
      </c>
      <c r="P24">
        <f t="shared" si="6"/>
        <v>0.23204950882637748</v>
      </c>
      <c r="R24" t="s">
        <v>11</v>
      </c>
      <c r="S24" s="2">
        <v>9.9930000000000003</v>
      </c>
      <c r="T24" s="2">
        <v>3.0470000000000002</v>
      </c>
      <c r="U24" s="2">
        <v>30.49</v>
      </c>
      <c r="V24">
        <v>0.56711820000000002</v>
      </c>
      <c r="X24" s="1">
        <v>25</v>
      </c>
      <c r="Y24">
        <f t="shared" si="26"/>
        <v>144.05703437154719</v>
      </c>
      <c r="Z24">
        <f t="shared" si="27"/>
        <v>166.21965504409292</v>
      </c>
      <c r="AA24">
        <f t="shared" si="28"/>
        <v>52.636224097296086</v>
      </c>
      <c r="AC24" s="1">
        <v>25</v>
      </c>
      <c r="AD24">
        <f t="shared" si="22"/>
        <v>1.04</v>
      </c>
      <c r="AE24">
        <f t="shared" si="22"/>
        <v>0.8571428571428571</v>
      </c>
      <c r="AF24">
        <f t="shared" si="22"/>
        <v>0.3392857142857143</v>
      </c>
      <c r="AG24">
        <f t="shared" si="23"/>
        <v>0.74547619047619051</v>
      </c>
      <c r="AH24">
        <f t="shared" si="24"/>
        <v>0.20984296579772344</v>
      </c>
      <c r="AJ24" t="s">
        <v>11</v>
      </c>
      <c r="AK24" s="2">
        <v>10.14</v>
      </c>
      <c r="AL24" s="2">
        <v>3.085</v>
      </c>
      <c r="AM24" s="2">
        <v>30.41</v>
      </c>
      <c r="AN24">
        <v>0.57578640000000003</v>
      </c>
    </row>
    <row r="25" spans="1:41" x14ac:dyDescent="0.3">
      <c r="A25" s="1">
        <v>50</v>
      </c>
      <c r="B25">
        <f>55-4</f>
        <v>51</v>
      </c>
      <c r="C25">
        <f>65-0</f>
        <v>65</v>
      </c>
      <c r="D25">
        <f>57-2</f>
        <v>55</v>
      </c>
      <c r="F25" s="1">
        <v>50</v>
      </c>
      <c r="G25">
        <f t="shared" si="25"/>
        <v>102</v>
      </c>
      <c r="H25">
        <f t="shared" si="20"/>
        <v>130</v>
      </c>
      <c r="I25">
        <f t="shared" si="20"/>
        <v>110</v>
      </c>
      <c r="K25" s="1">
        <v>50</v>
      </c>
      <c r="L25">
        <f t="shared" si="3"/>
        <v>1.1333333333333333</v>
      </c>
      <c r="M25">
        <f t="shared" si="4"/>
        <v>0.80246913580246915</v>
      </c>
      <c r="N25">
        <f t="shared" si="5"/>
        <v>1.0185185185185186</v>
      </c>
      <c r="O25">
        <f t="shared" si="1"/>
        <v>0.98477366255144039</v>
      </c>
      <c r="P25">
        <f t="shared" si="6"/>
        <v>9.6991091996661991E-2</v>
      </c>
      <c r="X25" s="1">
        <v>50</v>
      </c>
      <c r="Y25">
        <f t="shared" si="26"/>
        <v>141.28670678747898</v>
      </c>
      <c r="Z25">
        <f t="shared" si="27"/>
        <v>180.07129296443398</v>
      </c>
      <c r="AA25">
        <f t="shared" si="28"/>
        <v>152.36801712375183</v>
      </c>
      <c r="AC25" s="1">
        <v>50</v>
      </c>
      <c r="AD25">
        <f t="shared" si="22"/>
        <v>1.02</v>
      </c>
      <c r="AE25">
        <f t="shared" si="22"/>
        <v>0.92857142857142849</v>
      </c>
      <c r="AF25">
        <f t="shared" si="22"/>
        <v>0.98214285714285721</v>
      </c>
      <c r="AG25">
        <f t="shared" si="23"/>
        <v>0.97690476190476183</v>
      </c>
      <c r="AH25">
        <f t="shared" si="24"/>
        <v>2.6522783599890552E-2</v>
      </c>
    </row>
    <row r="26" spans="1:41" x14ac:dyDescent="0.3">
      <c r="A26" s="1">
        <v>100</v>
      </c>
      <c r="B26">
        <f>51-1</f>
        <v>50</v>
      </c>
      <c r="C26">
        <f>70-0</f>
        <v>70</v>
      </c>
      <c r="D26">
        <f>57-1</f>
        <v>56</v>
      </c>
      <c r="F26" s="1">
        <v>100</v>
      </c>
      <c r="G26">
        <f t="shared" si="25"/>
        <v>100</v>
      </c>
      <c r="H26">
        <f t="shared" si="20"/>
        <v>140</v>
      </c>
      <c r="I26">
        <f t="shared" si="20"/>
        <v>112</v>
      </c>
      <c r="K26" s="3">
        <v>100</v>
      </c>
      <c r="L26">
        <f t="shared" si="3"/>
        <v>1.1111111111111112</v>
      </c>
      <c r="M26">
        <f t="shared" si="4"/>
        <v>0.86419753086419748</v>
      </c>
      <c r="N26">
        <f t="shared" si="5"/>
        <v>1.037037037037037</v>
      </c>
      <c r="O26">
        <f t="shared" si="1"/>
        <v>1.0041152263374487</v>
      </c>
      <c r="P26">
        <f t="shared" si="6"/>
        <v>7.3153863517000456E-2</v>
      </c>
      <c r="X26" s="3">
        <v>100</v>
      </c>
      <c r="Y26">
        <f t="shared" si="26"/>
        <v>138.51637920341076</v>
      </c>
      <c r="Z26">
        <f t="shared" si="27"/>
        <v>193.92293088477507</v>
      </c>
      <c r="AA26">
        <f t="shared" si="28"/>
        <v>155.13834470782004</v>
      </c>
      <c r="AC26" s="3">
        <v>100</v>
      </c>
      <c r="AD26">
        <f t="shared" si="22"/>
        <v>1</v>
      </c>
      <c r="AE26">
        <f t="shared" si="22"/>
        <v>1</v>
      </c>
      <c r="AF26">
        <f t="shared" si="22"/>
        <v>1</v>
      </c>
      <c r="AG26">
        <f t="shared" si="23"/>
        <v>1</v>
      </c>
      <c r="AH26">
        <f t="shared" si="24"/>
        <v>0</v>
      </c>
    </row>
    <row r="27" spans="1:41" x14ac:dyDescent="0.3">
      <c r="A27" s="1">
        <v>150</v>
      </c>
      <c r="B27">
        <f>45-2</f>
        <v>43</v>
      </c>
      <c r="C27">
        <f>65-1</f>
        <v>64</v>
      </c>
      <c r="D27">
        <f>43-2</f>
        <v>41</v>
      </c>
      <c r="F27" s="1">
        <v>150</v>
      </c>
      <c r="G27">
        <f t="shared" si="25"/>
        <v>86</v>
      </c>
      <c r="H27">
        <f t="shared" si="20"/>
        <v>128</v>
      </c>
      <c r="I27">
        <f t="shared" si="20"/>
        <v>82</v>
      </c>
      <c r="K27" s="1">
        <v>150</v>
      </c>
      <c r="L27">
        <f t="shared" si="3"/>
        <v>0.9555555555555556</v>
      </c>
      <c r="M27">
        <f t="shared" si="4"/>
        <v>0.79012345679012341</v>
      </c>
      <c r="N27">
        <f t="shared" si="5"/>
        <v>0.7592592592592593</v>
      </c>
      <c r="O27">
        <f t="shared" si="1"/>
        <v>0.83497942386831292</v>
      </c>
      <c r="P27">
        <f t="shared" si="6"/>
        <v>6.0942875771222919E-2</v>
      </c>
      <c r="X27" s="1">
        <v>150</v>
      </c>
      <c r="Y27">
        <f t="shared" si="26"/>
        <v>119.12408611493325</v>
      </c>
      <c r="Z27">
        <f t="shared" si="27"/>
        <v>177.30096538036577</v>
      </c>
      <c r="AA27">
        <f t="shared" si="28"/>
        <v>113.58343094679682</v>
      </c>
      <c r="AC27" s="1">
        <v>150</v>
      </c>
      <c r="AD27">
        <f t="shared" si="22"/>
        <v>0.86</v>
      </c>
      <c r="AE27">
        <f t="shared" si="22"/>
        <v>0.91428571428571426</v>
      </c>
      <c r="AF27">
        <f t="shared" si="22"/>
        <v>0.73214285714285721</v>
      </c>
      <c r="AG27">
        <f t="shared" si="23"/>
        <v>0.83547619047619059</v>
      </c>
      <c r="AH27">
        <f t="shared" si="24"/>
        <v>5.3990949942902086E-2</v>
      </c>
    </row>
    <row r="28" spans="1:41" x14ac:dyDescent="0.3">
      <c r="A28" s="1"/>
      <c r="F28" s="1"/>
      <c r="K28" s="1"/>
    </row>
    <row r="29" spans="1:41" x14ac:dyDescent="0.3">
      <c r="A29" s="1"/>
      <c r="F29" s="1"/>
      <c r="K29" s="1"/>
    </row>
    <row r="30" spans="1:41" x14ac:dyDescent="0.3">
      <c r="A30" s="1"/>
      <c r="F30" s="1"/>
      <c r="K30" s="1"/>
    </row>
    <row r="31" spans="1:41" x14ac:dyDescent="0.3">
      <c r="A31" s="1"/>
      <c r="F31" s="1"/>
      <c r="K31" s="1"/>
    </row>
    <row r="32" spans="1:41" x14ac:dyDescent="0.3">
      <c r="A32" s="1"/>
      <c r="F32" s="1"/>
      <c r="K32" s="1"/>
    </row>
    <row r="33" spans="1:11" x14ac:dyDescent="0.3">
      <c r="A33" s="1"/>
      <c r="F33" s="1"/>
      <c r="K33" s="1"/>
    </row>
    <row r="34" spans="1:11" x14ac:dyDescent="0.3">
      <c r="A34" s="1"/>
      <c r="F34" s="1"/>
      <c r="K34" s="1"/>
    </row>
    <row r="35" spans="1:11" x14ac:dyDescent="0.3">
      <c r="A35" s="1"/>
      <c r="F35" s="1"/>
      <c r="K35" s="1"/>
    </row>
  </sheetData>
  <mergeCells count="10">
    <mergeCell ref="AN8:AP8"/>
    <mergeCell ref="X8:AA8"/>
    <mergeCell ref="AC8:AH8"/>
    <mergeCell ref="AJ8:AM8"/>
    <mergeCell ref="X19:Z19"/>
    <mergeCell ref="A1:B1"/>
    <mergeCell ref="F1:G1"/>
    <mergeCell ref="K1:L1"/>
    <mergeCell ref="R1:T1"/>
    <mergeCell ref="X10:Z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Spike-counting DsuzOR69aA</vt:lpstr>
      <vt:lpstr>Spike-counting DsuzOR69aB</vt:lpstr>
      <vt:lpstr>Spike-counting DsuzOR69aC</vt:lpstr>
      <vt:lpstr>DR-DsuzOR69aA</vt:lpstr>
      <vt:lpstr>DR-DsuzOR69aB</vt:lpstr>
      <vt:lpstr>DR-DsuzOR69aC</vt:lpstr>
    </vt:vector>
  </TitlesOfParts>
  <Company>FEM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AMC</dc:creator>
  <cp:lastModifiedBy>Alberto Maria Cattaneo</cp:lastModifiedBy>
  <dcterms:created xsi:type="dcterms:W3CDTF">2019-07-31T14:16:33Z</dcterms:created>
  <dcterms:modified xsi:type="dcterms:W3CDTF">2022-07-07T15:50:21Z</dcterms:modified>
</cp:coreProperties>
</file>