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-al.slu.se\home$\aoeo0001\Desktop\DsuzOR69a-MS-Submission\"/>
    </mc:Choice>
  </mc:AlternateContent>
  <bookViews>
    <workbookView xWindow="0" yWindow="0" windowWidth="17256" windowHeight="5208"/>
  </bookViews>
  <sheets>
    <sheet name="Synthetic ligands" sheetId="2" r:id="rId1"/>
    <sheet name="H. uvarum headspaces" sheetId="3" r:id="rId2"/>
  </sheets>
  <definedNames>
    <definedName name="_xlchart.v1.0" hidden="1">'Synthetic ligands'!$B$12:$F$12</definedName>
    <definedName name="_xlchart.v1.1" hidden="1">'Synthetic ligands'!$B$20:$H$20</definedName>
    <definedName name="_xlchart.v1.10" hidden="1">'Synthetic ligands'!$D$21:$H$21</definedName>
    <definedName name="_xlchart.v1.11" hidden="1">'Synthetic ligands'!$D$22:$G$22</definedName>
    <definedName name="_xlchart.v1.12" hidden="1">'Synthetic ligands'!$D$24:$H$24</definedName>
    <definedName name="_xlchart.v1.13" hidden="1">'Synthetic ligands'!$D$35:$H$35</definedName>
    <definedName name="_xlchart.v1.14" hidden="1">'Synthetic ligands'!$E$23:$H$23</definedName>
    <definedName name="_xlchart.v1.15" hidden="1">'H. uvarum headspaces'!$B$15:$F$15</definedName>
    <definedName name="_xlchart.v1.16" hidden="1">'H. uvarum headspaces'!$B$16:$F$16</definedName>
    <definedName name="_xlchart.v1.17" hidden="1">'H. uvarum headspaces'!$B$17:$F$17</definedName>
    <definedName name="_xlchart.v1.18" hidden="1">'H. uvarum headspaces'!$B$18:$F$18</definedName>
    <definedName name="_xlchart.v1.19" hidden="1">'H. uvarum headspaces'!$B$19:$F$19</definedName>
    <definedName name="_xlchart.v1.2" hidden="1">'Synthetic ligands'!$B$32:$H$32</definedName>
    <definedName name="_xlchart.v1.20" hidden="1">'H. uvarum headspaces'!$B$20:$E$20</definedName>
    <definedName name="_xlchart.v1.21" hidden="1">'H. uvarum headspaces'!$B$27:$E$27</definedName>
    <definedName name="_xlchart.v1.22" hidden="1">'H. uvarum headspaces'!$B$28:$E$28</definedName>
    <definedName name="_xlchart.v1.23" hidden="1">'H. uvarum headspaces'!$B$30:$E$30</definedName>
    <definedName name="_xlchart.v1.24" hidden="1">'H. uvarum headspaces'!$B$31:$E$31</definedName>
    <definedName name="_xlchart.v1.25" hidden="1">'H. uvarum headspaces'!$B$32:$E$32</definedName>
    <definedName name="_xlchart.v1.26" hidden="1">'H. uvarum headspaces'!$B$4:$D$4</definedName>
    <definedName name="_xlchart.v1.27" hidden="1">'H. uvarum headspaces'!$B$5:$D$5</definedName>
    <definedName name="_xlchart.v1.28" hidden="1">'H. uvarum headspaces'!$B$6:$D$6</definedName>
    <definedName name="_xlchart.v1.29" hidden="1">'H. uvarum headspaces'!$B$7:$D$7</definedName>
    <definedName name="_xlchart.v1.3" hidden="1">'Synthetic ligands'!$B$33:$H$33</definedName>
    <definedName name="_xlchart.v1.30" hidden="1">'H. uvarum headspaces'!$B$8:$D$8</definedName>
    <definedName name="_xlchart.v1.31" hidden="1">'H. uvarum headspaces'!$C$29:$E$29</definedName>
    <definedName name="_xlchart.v1.4" hidden="1">'Synthetic ligands'!$B$34:$H$34</definedName>
    <definedName name="_xlchart.v1.5" hidden="1">'Synthetic ligands'!$B$36:$H$36</definedName>
    <definedName name="_xlchart.v1.6" hidden="1">'Synthetic ligands'!$B$8:$G$8</definedName>
    <definedName name="_xlchart.v1.7" hidden="1">'Synthetic ligands'!$B$9:$G$9</definedName>
    <definedName name="_xlchart.v1.8" hidden="1">'Synthetic ligands'!$C$10:$F$10</definedName>
    <definedName name="_xlchart.v1.9" hidden="1">'Synthetic ligands'!$D$11:$G$11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3" l="1"/>
  <c r="C15" i="3"/>
  <c r="C16" i="3"/>
  <c r="I16" i="3"/>
  <c r="G4" i="3"/>
  <c r="K33" i="2"/>
  <c r="K21" i="2"/>
  <c r="J9" i="2"/>
  <c r="K23" i="2"/>
  <c r="J12" i="2"/>
  <c r="G5" i="3"/>
  <c r="C17" i="3"/>
  <c r="I17" i="3"/>
  <c r="J17" i="3"/>
  <c r="G6" i="3"/>
  <c r="H32" i="3"/>
  <c r="H31" i="3"/>
  <c r="H30" i="3"/>
  <c r="H29" i="3"/>
  <c r="G8" i="3"/>
  <c r="H8" i="3"/>
  <c r="G7" i="3"/>
  <c r="K36" i="2"/>
  <c r="K35" i="2"/>
  <c r="K34" i="2"/>
  <c r="I9" i="2"/>
  <c r="H9" i="2"/>
  <c r="H8" i="2"/>
  <c r="K24" i="2"/>
  <c r="K22" i="2"/>
  <c r="J11" i="2"/>
  <c r="J10" i="2"/>
  <c r="R20" i="2"/>
  <c r="Q21" i="2"/>
  <c r="Q23" i="2"/>
  <c r="Q26" i="2"/>
  <c r="Q27" i="2"/>
  <c r="Q24" i="2"/>
  <c r="Q20" i="2"/>
  <c r="Q25" i="2"/>
  <c r="O11" i="2"/>
  <c r="O9" i="2"/>
  <c r="O14" i="2"/>
  <c r="O16" i="2"/>
  <c r="O15" i="2"/>
  <c r="O12" i="2"/>
  <c r="O8" i="2"/>
  <c r="O13" i="2"/>
  <c r="R35" i="2"/>
  <c r="R34" i="2"/>
  <c r="R33" i="2"/>
  <c r="R32" i="2"/>
  <c r="S36" i="2"/>
  <c r="S35" i="2"/>
  <c r="S34" i="2"/>
  <c r="S33" i="2"/>
  <c r="S32" i="2"/>
  <c r="Q36" i="2"/>
  <c r="Q35" i="2"/>
  <c r="Q34" i="2"/>
  <c r="Q33" i="2"/>
  <c r="Q32" i="2"/>
  <c r="P36" i="2"/>
  <c r="P35" i="2"/>
  <c r="P34" i="2"/>
  <c r="P33" i="2"/>
  <c r="P32" i="2"/>
  <c r="O36" i="2"/>
  <c r="O35" i="2"/>
  <c r="O34" i="2"/>
  <c r="O33" i="2"/>
  <c r="O32" i="2"/>
  <c r="S24" i="2"/>
  <c r="S23" i="2"/>
  <c r="S22" i="2"/>
  <c r="S21" i="2"/>
  <c r="S20" i="2"/>
  <c r="R24" i="2"/>
  <c r="R23" i="2"/>
  <c r="R22" i="2"/>
  <c r="R21" i="2"/>
  <c r="Q22" i="2"/>
  <c r="P24" i="2"/>
  <c r="P23" i="2"/>
  <c r="P22" i="2"/>
  <c r="P21" i="2"/>
  <c r="P20" i="2"/>
  <c r="O24" i="2"/>
  <c r="O23" i="2"/>
  <c r="O22" i="2"/>
  <c r="O21" i="2"/>
  <c r="O20" i="2"/>
  <c r="O10" i="2"/>
  <c r="P12" i="2"/>
  <c r="P11" i="2"/>
  <c r="P10" i="2"/>
  <c r="P9" i="2"/>
  <c r="P8" i="2"/>
  <c r="Q12" i="2"/>
  <c r="Q11" i="2"/>
  <c r="Q10" i="2"/>
  <c r="Q9" i="2"/>
  <c r="Q8" i="2"/>
  <c r="R12" i="2"/>
  <c r="R11" i="2"/>
  <c r="R10" i="2"/>
  <c r="R9" i="2"/>
  <c r="R8" i="2"/>
  <c r="S12" i="2"/>
  <c r="S11" i="2"/>
  <c r="S10" i="2"/>
  <c r="S9" i="2"/>
  <c r="S8" i="2"/>
  <c r="J23" i="2"/>
  <c r="I23" i="2"/>
  <c r="I24" i="2"/>
  <c r="Q28" i="2"/>
  <c r="I12" i="2"/>
  <c r="I11" i="2"/>
  <c r="I10" i="2"/>
  <c r="I8" i="2"/>
  <c r="H12" i="2"/>
  <c r="H11" i="2"/>
  <c r="H10" i="2"/>
  <c r="L33" i="2"/>
  <c r="J33" i="2"/>
  <c r="J34" i="2"/>
  <c r="J35" i="2"/>
  <c r="J36" i="2"/>
  <c r="J32" i="2"/>
  <c r="I33" i="2"/>
  <c r="I34" i="2"/>
  <c r="I35" i="2"/>
  <c r="I36" i="2"/>
  <c r="I32" i="2"/>
  <c r="I29" i="3"/>
  <c r="I30" i="3"/>
  <c r="I31" i="3"/>
  <c r="I32" i="3"/>
  <c r="I28" i="3"/>
  <c r="L36" i="2"/>
  <c r="L35" i="2"/>
  <c r="L34" i="2"/>
  <c r="L24" i="2"/>
  <c r="L23" i="2"/>
  <c r="L22" i="2"/>
  <c r="L21" i="2"/>
  <c r="K12" i="2"/>
  <c r="K11" i="2"/>
  <c r="K10" i="2"/>
  <c r="K9" i="2"/>
  <c r="R36" i="2"/>
  <c r="J24" i="2"/>
  <c r="J22" i="2"/>
  <c r="J21" i="2"/>
  <c r="J20" i="2"/>
  <c r="I20" i="2"/>
  <c r="I21" i="2"/>
  <c r="I22" i="2"/>
  <c r="F29" i="3"/>
  <c r="G29" i="3"/>
  <c r="F3" i="3"/>
  <c r="O38" i="2"/>
  <c r="O39" i="2"/>
  <c r="O25" i="2"/>
  <c r="R13" i="2"/>
  <c r="S14" i="2"/>
  <c r="S15" i="2"/>
  <c r="O37" i="2"/>
  <c r="S26" i="2"/>
  <c r="S28" i="2"/>
  <c r="R38" i="2"/>
  <c r="R40" i="2"/>
  <c r="S25" i="2"/>
  <c r="Q38" i="2"/>
  <c r="Q39" i="2"/>
  <c r="S37" i="2"/>
  <c r="Q37" i="2"/>
  <c r="S38" i="2"/>
  <c r="S39" i="2"/>
  <c r="P26" i="2"/>
  <c r="P28" i="2"/>
  <c r="R25" i="2"/>
  <c r="P38" i="2"/>
  <c r="P40" i="2"/>
  <c r="R37" i="2"/>
  <c r="P25" i="2"/>
  <c r="P37" i="2"/>
  <c r="S13" i="2"/>
  <c r="S16" i="2"/>
  <c r="O26" i="2"/>
  <c r="O27" i="2"/>
  <c r="R26" i="2"/>
  <c r="R28" i="2"/>
  <c r="Q13" i="2"/>
  <c r="R14" i="2"/>
  <c r="R15" i="2"/>
  <c r="O40" i="2"/>
  <c r="G32" i="3"/>
  <c r="F32" i="3"/>
  <c r="S31" i="3"/>
  <c r="R31" i="3"/>
  <c r="Q31" i="3"/>
  <c r="P31" i="3"/>
  <c r="O31" i="3"/>
  <c r="N31" i="3"/>
  <c r="G31" i="3"/>
  <c r="F31" i="3"/>
  <c r="S30" i="3"/>
  <c r="R30" i="3"/>
  <c r="Q30" i="3"/>
  <c r="P30" i="3"/>
  <c r="P28" i="3"/>
  <c r="P33" i="3"/>
  <c r="O30" i="3"/>
  <c r="N30" i="3"/>
  <c r="G30" i="3"/>
  <c r="F30" i="3"/>
  <c r="S29" i="3"/>
  <c r="R29" i="3"/>
  <c r="Q29" i="3"/>
  <c r="P29" i="3"/>
  <c r="O29" i="3"/>
  <c r="N29" i="3"/>
  <c r="S28" i="3"/>
  <c r="R28" i="3"/>
  <c r="Q28" i="3"/>
  <c r="O28" i="3"/>
  <c r="N28" i="3"/>
  <c r="G28" i="3"/>
  <c r="F28" i="3"/>
  <c r="S27" i="3"/>
  <c r="R27" i="3"/>
  <c r="Q27" i="3"/>
  <c r="P27" i="3"/>
  <c r="O27" i="3"/>
  <c r="N27" i="3"/>
  <c r="G27" i="3"/>
  <c r="F27" i="3"/>
  <c r="C20" i="3"/>
  <c r="C19" i="3"/>
  <c r="H19" i="3"/>
  <c r="S18" i="3"/>
  <c r="C18" i="3"/>
  <c r="Q17" i="3"/>
  <c r="S17" i="3"/>
  <c r="P19" i="3"/>
  <c r="S16" i="3"/>
  <c r="R16" i="3"/>
  <c r="O19" i="3"/>
  <c r="F8" i="3"/>
  <c r="E8" i="3"/>
  <c r="S7" i="3"/>
  <c r="R7" i="3"/>
  <c r="Q7" i="3"/>
  <c r="P7" i="3"/>
  <c r="O7" i="3"/>
  <c r="N7" i="3"/>
  <c r="F7" i="3"/>
  <c r="H7" i="3"/>
  <c r="E7" i="3"/>
  <c r="S6" i="3"/>
  <c r="R6" i="3"/>
  <c r="Q6" i="3"/>
  <c r="P6" i="3"/>
  <c r="O6" i="3"/>
  <c r="N6" i="3"/>
  <c r="F6" i="3"/>
  <c r="H6" i="3"/>
  <c r="E6" i="3"/>
  <c r="S5" i="3"/>
  <c r="R5" i="3"/>
  <c r="Q5" i="3"/>
  <c r="P5" i="3"/>
  <c r="O5" i="3"/>
  <c r="N5" i="3"/>
  <c r="F5" i="3"/>
  <c r="H5" i="3"/>
  <c r="E5" i="3"/>
  <c r="S4" i="3"/>
  <c r="R4" i="3"/>
  <c r="R9" i="3"/>
  <c r="Q4" i="3"/>
  <c r="Q9" i="3"/>
  <c r="P4" i="3"/>
  <c r="O4" i="3"/>
  <c r="N4" i="3"/>
  <c r="F4" i="3"/>
  <c r="H4" i="3"/>
  <c r="E4" i="3"/>
  <c r="S3" i="3"/>
  <c r="R3" i="3"/>
  <c r="Q3" i="3"/>
  <c r="P3" i="3"/>
  <c r="O3" i="3"/>
  <c r="N3" i="3"/>
  <c r="E3" i="3"/>
  <c r="I20" i="3"/>
  <c r="J20" i="3"/>
  <c r="J16" i="3"/>
  <c r="I19" i="3"/>
  <c r="J19" i="3"/>
  <c r="I18" i="3"/>
  <c r="J18" i="3"/>
  <c r="S27" i="2"/>
  <c r="R16" i="2"/>
  <c r="R39" i="2"/>
  <c r="P39" i="2"/>
  <c r="Q40" i="2"/>
  <c r="P27" i="2"/>
  <c r="Q14" i="2"/>
  <c r="Q15" i="2"/>
  <c r="S40" i="2"/>
  <c r="N19" i="3"/>
  <c r="H15" i="3"/>
  <c r="R18" i="3"/>
  <c r="Q32" i="3"/>
  <c r="G16" i="3"/>
  <c r="Q18" i="3"/>
  <c r="G19" i="3"/>
  <c r="R17" i="3"/>
  <c r="Q19" i="3"/>
  <c r="G20" i="3"/>
  <c r="H20" i="3"/>
  <c r="R15" i="3"/>
  <c r="N33" i="3"/>
  <c r="R27" i="2"/>
  <c r="O28" i="2"/>
  <c r="O9" i="3"/>
  <c r="O11" i="3"/>
  <c r="P9" i="3"/>
  <c r="P11" i="3"/>
  <c r="P8" i="3"/>
  <c r="O33" i="3"/>
  <c r="O34" i="3"/>
  <c r="O32" i="3"/>
  <c r="Q10" i="3"/>
  <c r="Q11" i="3"/>
  <c r="Q8" i="3"/>
  <c r="G15" i="3"/>
  <c r="P34" i="3"/>
  <c r="P35" i="3"/>
  <c r="P32" i="3"/>
  <c r="R8" i="3"/>
  <c r="O8" i="3"/>
  <c r="N15" i="3"/>
  <c r="N20" i="3"/>
  <c r="S32" i="3"/>
  <c r="N32" i="3"/>
  <c r="R10" i="3"/>
  <c r="R11" i="3"/>
  <c r="S8" i="3"/>
  <c r="R32" i="3"/>
  <c r="S15" i="3"/>
  <c r="N9" i="3"/>
  <c r="N11" i="3"/>
  <c r="N8" i="3"/>
  <c r="O10" i="3"/>
  <c r="N34" i="3"/>
  <c r="S9" i="3"/>
  <c r="S10" i="3"/>
  <c r="H16" i="3"/>
  <c r="G17" i="3"/>
  <c r="R19" i="3"/>
  <c r="S21" i="3"/>
  <c r="S23" i="3"/>
  <c r="Q33" i="3"/>
  <c r="Q34" i="3"/>
  <c r="R21" i="3"/>
  <c r="R22" i="3"/>
  <c r="O15" i="3"/>
  <c r="O20" i="3"/>
  <c r="N16" i="3"/>
  <c r="H17" i="3"/>
  <c r="G18" i="3"/>
  <c r="S19" i="3"/>
  <c r="R33" i="3"/>
  <c r="R34" i="3"/>
  <c r="N35" i="3"/>
  <c r="P15" i="3"/>
  <c r="P20" i="3"/>
  <c r="O16" i="3"/>
  <c r="N17" i="3"/>
  <c r="H18" i="3"/>
  <c r="S33" i="3"/>
  <c r="S34" i="3"/>
  <c r="O35" i="3"/>
  <c r="Q15" i="3"/>
  <c r="Q20" i="3"/>
  <c r="P16" i="3"/>
  <c r="O17" i="3"/>
  <c r="N18" i="3"/>
  <c r="Q16" i="3"/>
  <c r="P17" i="3"/>
  <c r="O18" i="3"/>
  <c r="P18" i="3"/>
  <c r="Q16" i="2"/>
  <c r="Q21" i="3"/>
  <c r="Q23" i="3"/>
  <c r="S20" i="3"/>
  <c r="R20" i="3"/>
  <c r="S22" i="3"/>
  <c r="P10" i="3"/>
  <c r="N10" i="3"/>
  <c r="Q35" i="3"/>
  <c r="R23" i="3"/>
  <c r="O21" i="3"/>
  <c r="O23" i="3"/>
  <c r="S35" i="3"/>
  <c r="P21" i="3"/>
  <c r="P22" i="3"/>
  <c r="Q22" i="3"/>
  <c r="N21" i="3"/>
  <c r="N23" i="3"/>
  <c r="R35" i="3"/>
  <c r="S11" i="3"/>
  <c r="P23" i="3"/>
  <c r="O22" i="3"/>
  <c r="N22" i="3"/>
  <c r="P14" i="2"/>
  <c r="P16" i="2"/>
  <c r="P13" i="2"/>
  <c r="P15" i="2"/>
</calcChain>
</file>

<file path=xl/sharedStrings.xml><?xml version="1.0" encoding="utf-8"?>
<sst xmlns="http://schemas.openxmlformats.org/spreadsheetml/2006/main" count="221" uniqueCount="41">
  <si>
    <t>DsuzOR69aA</t>
  </si>
  <si>
    <t>DsuzOR69aB</t>
  </si>
  <si>
    <t>DsuzOR69aC</t>
  </si>
  <si>
    <t>-</t>
  </si>
  <si>
    <t>Compound</t>
  </si>
  <si>
    <t>Average</t>
  </si>
  <si>
    <t>St.dev.</t>
  </si>
  <si>
    <t>p</t>
  </si>
  <si>
    <t>Minimum</t>
  </si>
  <si>
    <t>Q1</t>
  </si>
  <si>
    <t>Median</t>
  </si>
  <si>
    <t>Q3</t>
  </si>
  <si>
    <t>Maximum</t>
  </si>
  <si>
    <t>Range</t>
  </si>
  <si>
    <t>IQR</t>
  </si>
  <si>
    <t>Lower cutoff</t>
  </si>
  <si>
    <t>Higher cutoff</t>
  </si>
  <si>
    <t>4.769-4.800</t>
  </si>
  <si>
    <t>7.221</t>
  </si>
  <si>
    <t>8.562</t>
  </si>
  <si>
    <t>11.677</t>
  </si>
  <si>
    <t>14.953</t>
  </si>
  <si>
    <t>ɑ = 0.05</t>
  </si>
  <si>
    <t>Replicate 1</t>
  </si>
  <si>
    <t>Replicate 2</t>
  </si>
  <si>
    <t>Replicate 3</t>
  </si>
  <si>
    <t>Replicate 4</t>
  </si>
  <si>
    <t>Replicate 5</t>
  </si>
  <si>
    <t>Replicate 6</t>
  </si>
  <si>
    <t>Replicate 7</t>
  </si>
  <si>
    <t>3-octanol</t>
  </si>
  <si>
    <t>(Z)-4-nonenal</t>
  </si>
  <si>
    <t>Methyl salicyliate</t>
  </si>
  <si>
    <t>R-carvone</t>
  </si>
  <si>
    <t>Hexane</t>
  </si>
  <si>
    <t>Retention time (min)</t>
  </si>
  <si>
    <t>Methyl Salicylate</t>
  </si>
  <si>
    <t>Box-Plot</t>
  </si>
  <si>
    <t>Spikes/sec</t>
  </si>
  <si>
    <r>
      <rPr>
        <b/>
        <sz val="11"/>
        <color theme="1"/>
        <rFont val="Calibri"/>
        <family val="2"/>
        <scheme val="minor"/>
      </rPr>
      <t>Heterologous expression and functional characterization of Drosophila suzukii OR69a transcript variants unveiled response to kairomones and to a candidate pheromone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</si>
  <si>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Journal of Pest Science - Alberto Maria Cattaneo(1,2*), Peter Witzgall(1), Charles A. Kwadha(1), Paul G. Becher(1), William B. Walker III(1,3) - (1)SLU- Department of Plant Protection Biology, Chemical Ecology, Lomma - Campus Alnarp (Skåne) Sweden; (2) University of Lausanne, Center for Integrative Genomics - Benton Lab, Lausanne (Vaud) Switzerland; (3) USDA-ARS, Temperate Tree Fruit and Vegetable Research Unit, Wapato WA-USA (*)Corresponding author: </t>
    </r>
    <r>
      <rPr>
        <b/>
        <sz val="11"/>
        <color theme="1"/>
        <rFont val="Calibri"/>
        <family val="2"/>
        <scheme val="minor"/>
      </rPr>
      <t>albertomaria.cattaneo@slu.se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</si>
</sst>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4F9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 dir="row">_xlchart.v1.6</cx:f>
      </cx:numDim>
    </cx:data>
    <cx:data id="1">
      <cx:numDim type="val">
        <cx:f dir="row">_xlchart.v1.1</cx:f>
      </cx:numDim>
    </cx:data>
    <cx:data id="2">
      <cx:numDim type="val">
        <cx:f dir="row">_xlchart.v1.2</cx:f>
      </cx:numDim>
    </cx:data>
    <cx:data id="3">
      <cx:numDim type="val">
        <cx:f dir="row">_xlchart.v1.7</cx:f>
      </cx:numDim>
    </cx:data>
    <cx:data id="4">
      <cx:numDim type="val">
        <cx:f dir="row">_xlchart.v1.10</cx:f>
      </cx:numDim>
    </cx:data>
    <cx:data id="5">
      <cx:numDim type="val">
        <cx:f dir="row">_xlchart.v1.3</cx:f>
      </cx:numDim>
    </cx:data>
    <cx:data id="6">
      <cx:numDim type="val">
        <cx:f dir="row">_xlchart.v1.8</cx:f>
      </cx:numDim>
    </cx:data>
    <cx:data id="7">
      <cx:numDim type="val">
        <cx:f dir="row">_xlchart.v1.11</cx:f>
      </cx:numDim>
    </cx:data>
    <cx:data id="8">
      <cx:numDim type="val">
        <cx:f dir="row">_xlchart.v1.4</cx:f>
      </cx:numDim>
    </cx:data>
    <cx:data id="9">
      <cx:numDim type="val">
        <cx:f dir="row">_xlchart.v1.9</cx:f>
      </cx:numDim>
    </cx:data>
    <cx:data id="10">
      <cx:numDim type="val">
        <cx:f dir="row">_xlchart.v1.14</cx:f>
      </cx:numDim>
    </cx:data>
    <cx:data id="11">
      <cx:numDim type="val">
        <cx:f dir="row">_xlchart.v1.13</cx:f>
      </cx:numDim>
    </cx:data>
    <cx:data id="12">
      <cx:numDim type="val">
        <cx:f dir="row">_xlchart.v1.0</cx:f>
      </cx:numDim>
    </cx:data>
    <cx:data id="13">
      <cx:numDim type="val">
        <cx:f dir="row">_xlchart.v1.12</cx:f>
      </cx:numDim>
    </cx:data>
    <cx:data id="14">
      <cx:numDim type="val">
        <cx:f dir="row">_xlchart.v1.5</cx:f>
      </cx:numDim>
    </cx:data>
  </cx:chartData>
  <cx:chart>
    <cx:plotArea>
      <cx:plotAreaRegion>
        <cx:plotSurface>
          <cx:spPr>
            <a:noFill/>
            <a:ln>
              <a:noFill/>
            </a:ln>
          </cx:spPr>
        </cx:plotSurface>
        <cx:series layoutId="boxWhisker" uniqueId="{00000000-FBDF-4CB3-B656-80B4C771F422}" formatIdx="0">
          <cx:tx>
            <cx:txData>
              <cx:v>Hexane_A</cx:v>
            </cx:txData>
          </cx:tx>
          <cx:spPr>
            <a:solidFill>
              <a:srgbClr val="0070C0"/>
            </a:solidFill>
            <a:ln>
              <a:solidFill>
                <a:schemeClr val="tx1"/>
              </a:solidFill>
            </a:ln>
          </cx:spPr>
          <cx:dataId val="0"/>
          <cx:layoutPr>
            <cx:visibility meanLine="1"/>
            <cx:statistics quartileMethod="inclusive"/>
          </cx:layoutPr>
        </cx:series>
        <cx:series layoutId="boxWhisker" uniqueId="{00000007-FBDF-4CB3-B656-80B4C771F422}" formatIdx="1">
          <cx:tx>
            <cx:txData>
              <cx:v>Hexane_B</cx:v>
            </cx:txData>
          </cx:tx>
          <cx:spPr>
            <a:solidFill>
              <a:srgbClr val="00B050"/>
            </a:solidFill>
            <a:ln>
              <a:solidFill>
                <a:schemeClr val="tx1"/>
              </a:solidFill>
            </a:ln>
          </cx:spPr>
          <cx:dataId val="1"/>
          <cx:layoutPr>
            <cx:visibility meanLine="1"/>
            <cx:statistics quartileMethod="inclusive"/>
          </cx:layoutPr>
        </cx:series>
        <cx:series layoutId="boxWhisker" uniqueId="{00000008-FBDF-4CB3-B656-80B4C771F422}" formatIdx="2">
          <cx:tx>
            <cx:txData>
              <cx:v>Hexane_C</cx:v>
            </cx:txData>
          </cx:tx>
          <cx:spPr>
            <a:solidFill>
              <a:srgbClr val="FF0000"/>
            </a:solidFill>
            <a:ln>
              <a:solidFill>
                <a:schemeClr val="tx1"/>
              </a:solidFill>
            </a:ln>
          </cx:spPr>
          <cx:dataId val="2"/>
          <cx:layoutPr>
            <cx:visibility meanLine="1"/>
            <cx:statistics quartileMethod="inclusive"/>
          </cx:layoutPr>
        </cx:series>
        <cx:series layoutId="boxWhisker" uniqueId="{00000009-FBDF-4CB3-B656-80B4C771F422}" formatIdx="3">
          <cx:tx>
            <cx:txData>
              <cx:v>3-octanol_A</cx:v>
            </cx:txData>
          </cx:tx>
          <cx:spPr>
            <a:solidFill>
              <a:srgbClr val="0070C0"/>
            </a:solidFill>
            <a:ln>
              <a:solidFill>
                <a:schemeClr val="tx1"/>
              </a:solidFill>
            </a:ln>
          </cx:spPr>
          <cx:dataId val="3"/>
          <cx:layoutPr>
            <cx:visibility meanLine="1"/>
            <cx:statistics quartileMethod="inclusive"/>
          </cx:layoutPr>
        </cx:series>
        <cx:series layoutId="boxWhisker" uniqueId="{0000000A-FBDF-4CB3-B656-80B4C771F422}" formatIdx="4">
          <cx:tx>
            <cx:txData>
              <cx:v>3-octanol_B</cx:v>
            </cx:txData>
          </cx:tx>
          <cx:spPr>
            <a:solidFill>
              <a:srgbClr val="00B050"/>
            </a:solidFill>
            <a:ln>
              <a:solidFill>
                <a:schemeClr val="tx1"/>
              </a:solidFill>
            </a:ln>
          </cx:spPr>
          <cx:dataId val="4"/>
          <cx:layoutPr>
            <cx:visibility meanLine="1"/>
            <cx:statistics quartileMethod="inclusive"/>
          </cx:layoutPr>
        </cx:series>
        <cx:series layoutId="boxWhisker" uniqueId="{0000000B-FBDF-4CB3-B656-80B4C771F422}" formatIdx="5">
          <cx:tx>
            <cx:txData>
              <cx:v>3-octanol_C</cx:v>
            </cx:txData>
          </cx:tx>
          <cx:spPr>
            <a:solidFill>
              <a:srgbClr val="FF0000"/>
            </a:solidFill>
            <a:ln>
              <a:solidFill>
                <a:schemeClr val="tx1"/>
              </a:solidFill>
            </a:ln>
          </cx:spPr>
          <cx:dataId val="5"/>
          <cx:layoutPr>
            <cx:visibility meanLine="1"/>
            <cx:statistics quartileMethod="inclusive"/>
          </cx:layoutPr>
        </cx:series>
        <cx:series layoutId="boxWhisker" uniqueId="{0000000C-FBDF-4CB3-B656-80B4C771F422}" formatIdx="6">
          <cx:tx>
            <cx:txData>
              <cx:v>(Z)-4-nonenal_A</cx:v>
            </cx:txData>
          </cx:tx>
          <cx:spPr>
            <a:solidFill>
              <a:srgbClr val="0070C0"/>
            </a:solidFill>
            <a:ln>
              <a:solidFill>
                <a:schemeClr val="tx1"/>
              </a:solidFill>
            </a:ln>
          </cx:spPr>
          <cx:dataId val="6"/>
          <cx:layoutPr>
            <cx:visibility meanLine="1"/>
            <cx:statistics quartileMethod="inclusive"/>
          </cx:layoutPr>
        </cx:series>
        <cx:series layoutId="boxWhisker" uniqueId="{0000000D-FBDF-4CB3-B656-80B4C771F422}" formatIdx="7">
          <cx:tx>
            <cx:txData>
              <cx:v>(Z)-4-nonenal_B</cx:v>
            </cx:txData>
          </cx:tx>
          <cx:spPr>
            <a:solidFill>
              <a:srgbClr val="00B050"/>
            </a:solidFill>
            <a:ln>
              <a:solidFill>
                <a:schemeClr val="tx1"/>
              </a:solidFill>
            </a:ln>
          </cx:spPr>
          <cx:dataId val="7"/>
          <cx:layoutPr>
            <cx:visibility meanLine="1"/>
            <cx:statistics quartileMethod="inclusive"/>
          </cx:layoutPr>
        </cx:series>
        <cx:series layoutId="boxWhisker" uniqueId="{0000000E-FBDF-4CB3-B656-80B4C771F422}" formatIdx="8">
          <cx:tx>
            <cx:txData>
              <cx:v>(Z)-4-nonenal_C</cx:v>
            </cx:txData>
          </cx:tx>
          <cx:spPr>
            <a:solidFill>
              <a:srgbClr val="FF0000"/>
            </a:solidFill>
            <a:ln>
              <a:solidFill>
                <a:schemeClr val="tx1"/>
              </a:solidFill>
            </a:ln>
          </cx:spPr>
          <cx:dataId val="8"/>
          <cx:layoutPr>
            <cx:visibility meanLine="1"/>
            <cx:statistics quartileMethod="inclusive"/>
          </cx:layoutPr>
        </cx:series>
        <cx:series layoutId="boxWhisker" uniqueId="{00000012-FBDF-4CB3-B656-80B4C771F422}" formatIdx="12">
          <cx:tx>
            <cx:txData>
              <cx:v>Methyl Salicylate_A</cx:v>
            </cx:txData>
          </cx:tx>
          <cx:spPr>
            <a:solidFill>
              <a:srgbClr val="0070C0"/>
            </a:solidFill>
            <a:ln>
              <a:solidFill>
                <a:schemeClr val="tx1"/>
              </a:solidFill>
            </a:ln>
          </cx:spPr>
          <cx:dataId val="9"/>
          <cx:layoutPr>
            <cx:visibility meanLine="1"/>
            <cx:statistics quartileMethod="inclusive"/>
          </cx:layoutPr>
        </cx:series>
        <cx:series layoutId="boxWhisker" uniqueId="{00000013-FBDF-4CB3-B656-80B4C771F422}" formatIdx="13">
          <cx:tx>
            <cx:txData>
              <cx:v>Methyl salicylate_B</cx:v>
            </cx:txData>
          </cx:tx>
          <cx:spPr>
            <a:solidFill>
              <a:srgbClr val="00B050"/>
            </a:solidFill>
            <a:ln>
              <a:solidFill>
                <a:schemeClr val="tx1"/>
              </a:solidFill>
            </a:ln>
          </cx:spPr>
          <cx:dataId val="10"/>
          <cx:layoutPr>
            <cx:visibility meanLine="1"/>
            <cx:statistics quartileMethod="inclusive"/>
          </cx:layoutPr>
        </cx:series>
        <cx:series layoutId="boxWhisker" uniqueId="{00000014-FBDF-4CB3-B656-80B4C771F422}" formatIdx="14">
          <cx:tx>
            <cx:txData>
              <cx:v>Methyl salicylate_C</cx:v>
            </cx:txData>
          </cx:tx>
          <cx:spPr>
            <a:solidFill>
              <a:srgbClr val="FF0000"/>
            </a:solidFill>
            <a:ln>
              <a:solidFill>
                <a:schemeClr val="tx1"/>
              </a:solidFill>
            </a:ln>
          </cx:spPr>
          <cx:dataId val="11"/>
          <cx:layoutPr>
            <cx:visibility meanLine="1"/>
            <cx:statistics quartileMethod="inclusive"/>
          </cx:layoutPr>
        </cx:series>
        <cx:series layoutId="boxWhisker" uniqueId="{00000015-FBDF-4CB3-B656-80B4C771F422}" formatIdx="15">
          <cx:tx>
            <cx:txData>
              <cx:v>R-carvone_A</cx:v>
            </cx:txData>
          </cx:tx>
          <cx:spPr>
            <a:solidFill>
              <a:srgbClr val="0070C0"/>
            </a:solidFill>
            <a:ln>
              <a:solidFill>
                <a:schemeClr val="tx1"/>
              </a:solidFill>
            </a:ln>
          </cx:spPr>
          <cx:dataId val="12"/>
          <cx:layoutPr>
            <cx:visibility meanLine="1"/>
            <cx:statistics quartileMethod="inclusive"/>
          </cx:layoutPr>
        </cx:series>
        <cx:series layoutId="boxWhisker" uniqueId="{00000016-FBDF-4CB3-B656-80B4C771F422}" formatIdx="16">
          <cx:tx>
            <cx:txData>
              <cx:v>R-carvone_B</cx:v>
            </cx:txData>
          </cx:tx>
          <cx:spPr>
            <a:solidFill>
              <a:srgbClr val="00B050"/>
            </a:solidFill>
            <a:ln>
              <a:solidFill>
                <a:schemeClr val="tx1"/>
              </a:solidFill>
            </a:ln>
          </cx:spPr>
          <cx:dataId val="13"/>
          <cx:layoutPr>
            <cx:visibility meanLine="1"/>
            <cx:statistics quartileMethod="inclusive"/>
          </cx:layoutPr>
        </cx:series>
        <cx:series layoutId="boxWhisker" uniqueId="{00000017-FBDF-4CB3-B656-80B4C771F422}" formatIdx="17">
          <cx:tx>
            <cx:txData>
              <cx:v>R-carvone_C</cx:v>
            </cx:txData>
          </cx:tx>
          <cx:spPr>
            <a:solidFill>
              <a:srgbClr val="FF0000"/>
            </a:solidFill>
            <a:ln>
              <a:solidFill>
                <a:schemeClr val="tx1"/>
              </a:solidFill>
            </a:ln>
          </cx:spPr>
          <cx:dataId val="14"/>
          <cx:layoutPr>
            <cx:visibility meanLine="1"/>
            <cx:statistics quartileMethod="inclusive"/>
          </cx:layoutPr>
        </cx:series>
      </cx:plotAreaRegion>
      <cx:axis id="0" hidden="1">
        <cx:catScaling gapWidth="0.0399999991"/>
        <cx:tickLabels/>
      </cx:axis>
      <cx:axis id="1">
        <cx:valScaling max="70" min="-15"/>
        <cx:tickLabels/>
        <cx:txPr>
          <a:bodyPr rot="-60000000" spcFirstLastPara="1" vertOverflow="ellipsis" vert="horz" wrap="square" lIns="0" tIns="0" rIns="0" bIns="0" anchor="ctr" anchorCtr="1"/>
          <a:lstStyle/>
          <a:p>
            <a:pPr>
              <a:defRPr sz="1200"/>
            </a:pPr>
            <a:endParaRPr lang="sv-SE" sz="1200"/>
          </a:p>
        </cx:txPr>
      </cx:axis>
    </cx:plotArea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 dir="row">_xlchart.v1.15</cx:f>
      </cx:numDim>
    </cx:data>
    <cx:data id="1">
      <cx:numDim type="val">
        <cx:f dir="row">_xlchart.v1.15</cx:f>
      </cx:numDim>
    </cx:data>
    <cx:data id="2">
      <cx:numDim type="val">
        <cx:f dir="row">_xlchart.v1.21</cx:f>
      </cx:numDim>
    </cx:data>
    <cx:data id="3">
      <cx:numDim type="val">
        <cx:f dir="row">_xlchart.v1.26</cx:f>
      </cx:numDim>
    </cx:data>
    <cx:data id="4">
      <cx:numDim type="val">
        <cx:f dir="row">_xlchart.v1.16</cx:f>
      </cx:numDim>
    </cx:data>
    <cx:data id="5">
      <cx:numDim type="val">
        <cx:f dir="row">_xlchart.v1.22</cx:f>
      </cx:numDim>
    </cx:data>
    <cx:data id="6">
      <cx:numDim type="val">
        <cx:f dir="row">_xlchart.v1.27</cx:f>
      </cx:numDim>
    </cx:data>
    <cx:data id="7">
      <cx:numDim type="val">
        <cx:f dir="row">_xlchart.v1.17</cx:f>
      </cx:numDim>
    </cx:data>
    <cx:data id="8">
      <cx:numDim type="val">
        <cx:f dir="row">_xlchart.v1.31</cx:f>
      </cx:numDim>
    </cx:data>
    <cx:data id="9">
      <cx:numDim type="val">
        <cx:f dir="row">_xlchart.v1.28</cx:f>
      </cx:numDim>
    </cx:data>
    <cx:data id="10">
      <cx:numDim type="val">
        <cx:f dir="row">_xlchart.v1.18</cx:f>
      </cx:numDim>
    </cx:data>
    <cx:data id="11">
      <cx:numDim type="val">
        <cx:f dir="row">_xlchart.v1.23</cx:f>
      </cx:numDim>
    </cx:data>
    <cx:data id="12">
      <cx:numDim type="val">
        <cx:f dir="row">_xlchart.v1.29</cx:f>
      </cx:numDim>
    </cx:data>
    <cx:data id="13">
      <cx:numDim type="val">
        <cx:f dir="row">_xlchart.v1.19</cx:f>
      </cx:numDim>
    </cx:data>
    <cx:data id="14">
      <cx:numDim type="val">
        <cx:f dir="row">_xlchart.v1.24</cx:f>
      </cx:numDim>
    </cx:data>
    <cx:data id="15">
      <cx:numDim type="val">
        <cx:f dir="row">_xlchart.v1.30</cx:f>
      </cx:numDim>
    </cx:data>
    <cx:data id="16">
      <cx:numDim type="val">
        <cx:f dir="row">_xlchart.v1.20</cx:f>
      </cx:numDim>
    </cx:data>
    <cx:data id="17">
      <cx:numDim type="val">
        <cx:f dir="row">_xlchart.v1.25</cx:f>
      </cx:numDim>
    </cx:data>
  </cx:chartData>
  <cx:chart>
    <cx:plotArea>
      <cx:plotAreaRegion>
        <cx:plotSurface>
          <cx:spPr>
            <a:ln w="12700">
              <a:solidFill>
                <a:sysClr val="windowText" lastClr="000000"/>
              </a:solidFill>
            </a:ln>
            <a:effectLst>
              <a:softEdge rad="0"/>
            </a:effectLst>
          </cx:spPr>
        </cx:plotSurface>
        <cx:series layoutId="boxWhisker" uniqueId="{66DD13B7-52D2-4C45-964E-281559F0E297}">
          <cx:tx>
            <cx:txData>
              <cx:v>DsuzOR69aA-Hex</cx:v>
            </cx:txData>
          </cx:tx>
          <cx:spPr>
            <a:solidFill>
              <a:srgbClr val="0070C0"/>
            </a:solidFill>
            <a:ln>
              <a:solidFill>
                <a:sysClr val="windowText" lastClr="000000"/>
              </a:solidFill>
            </a:ln>
          </cx:spPr>
          <cx:dataId val="0"/>
          <cx:layoutPr>
            <cx:visibility meanLine="1"/>
            <cx:statistics quartileMethod="inclusive"/>
          </cx:layoutPr>
        </cx:series>
        <cx:series layoutId="boxWhisker" uniqueId="{00000003-AE3B-4023-B31B-54C2F085C2C7}">
          <cx:tx>
            <cx:txData>
              <cx:v>DsuzOR60aB-Hex</cx:v>
            </cx:txData>
          </cx:tx>
          <cx:spPr>
            <a:solidFill>
              <a:srgbClr val="00B050"/>
            </a:solidFill>
            <a:ln>
              <a:solidFill>
                <a:sysClr val="windowText" lastClr="000000"/>
              </a:solidFill>
            </a:ln>
          </cx:spPr>
          <cx:dataId val="1"/>
          <cx:layoutPr>
            <cx:visibility meanLine="1"/>
            <cx:statistics quartileMethod="inclusive"/>
          </cx:layoutPr>
        </cx:series>
        <cx:series layoutId="boxWhisker" uniqueId="{00000004-AE3B-4023-B31B-54C2F085C2C7}">
          <cx:tx>
            <cx:txData>
              <cx:v>DsuzOR69aC-Hex</cx:v>
            </cx:txData>
          </cx:tx>
          <cx:spPr>
            <a:solidFill>
              <a:srgbClr val="FF0000"/>
            </a:solidFill>
            <a:ln>
              <a:solidFill>
                <a:schemeClr val="tx1"/>
              </a:solidFill>
            </a:ln>
          </cx:spPr>
          <cx:dataId val="2"/>
          <cx:layoutPr>
            <cx:visibility meanLine="1"/>
            <cx:statistics quartileMethod="inclusive"/>
          </cx:layoutPr>
        </cx:series>
        <cx:series layoutId="boxWhisker" uniqueId="{00000005-AE3B-4023-B31B-54C2F085C2C7}">
          <cx:tx>
            <cx:txData>
              <cx:v>Huva 1.1-1.2_A</cx:v>
            </cx:txData>
          </cx:tx>
          <cx:spPr>
            <a:solidFill>
              <a:srgbClr val="0070C0"/>
            </a:solidFill>
            <a:ln>
              <a:solidFill>
                <a:schemeClr val="tx1"/>
              </a:solidFill>
            </a:ln>
          </cx:spPr>
          <cx:dataId val="3"/>
          <cx:layoutPr>
            <cx:visibility meanLine="1"/>
            <cx:statistics quartileMethod="inclusive"/>
          </cx:layoutPr>
        </cx:series>
        <cx:series layoutId="boxWhisker" uniqueId="{00000006-AE3B-4023-B31B-54C2F085C2C7}">
          <cx:tx>
            <cx:txData>
              <cx:v>Huva 1.1-1.2_B</cx:v>
            </cx:txData>
          </cx:tx>
          <cx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>
              <a:outerShdw algn="ctr" rotWithShape="0">
                <a:srgbClr val="000000"/>
              </a:outerShdw>
            </a:effectLst>
          </cx:spPr>
          <cx:dataId val="4"/>
          <cx:layoutPr>
            <cx:visibility meanLine="1"/>
            <cx:statistics quartileMethod="inclusive"/>
          </cx:layoutPr>
        </cx:series>
        <cx:series layoutId="boxWhisker" uniqueId="{00000007-AE3B-4023-B31B-54C2F085C2C7}">
          <cx:tx>
            <cx:txData>
              <cx:v>Huva 1.1-1.2_C</cx:v>
            </cx:txData>
          </cx:tx>
          <cx:spPr>
            <a:solidFill>
              <a:srgbClr val="FF0000"/>
            </a:solidFill>
            <a:ln cap="flat">
              <a:solidFill>
                <a:sysClr val="windowText" lastClr="000000"/>
              </a:solidFill>
            </a:ln>
            <a:effectLst>
              <a:glow>
                <a:schemeClr val="accent1"/>
              </a:glow>
              <a:outerShdw blurRad="63500" dir="5400000" sx="1000" sy="1000" algn="ctr" rotWithShape="0">
                <a:srgbClr val="000000">
                  <a:alpha val="43137"/>
                </a:srgbClr>
              </a:outerShdw>
              <a:softEdge rad="0"/>
            </a:effectLst>
          </cx:spPr>
          <cx:dataId val="5"/>
          <cx:layoutPr>
            <cx:visibility meanLine="1"/>
            <cx:statistics quartileMethod="inclusive"/>
          </cx:layoutPr>
        </cx:series>
        <cx:series layoutId="boxWhisker" uniqueId="{00000008-AE3B-4023-B31B-54C2F085C2C7}">
          <cx:tx>
            <cx:txData>
              <cx:v>Huva 2_A</cx:v>
            </cx:txData>
          </cx:tx>
          <cx:spPr>
            <a:solidFill>
              <a:srgbClr val="0070C0"/>
            </a:solidFill>
            <a:ln>
              <a:solidFill>
                <a:schemeClr val="tx1"/>
              </a:solidFill>
            </a:ln>
          </cx:spPr>
          <cx:dataId val="6"/>
          <cx:layoutPr>
            <cx:visibility meanLine="1"/>
            <cx:statistics quartileMethod="inclusive"/>
          </cx:layoutPr>
        </cx:series>
        <cx:series layoutId="boxWhisker" uniqueId="{00000009-AE3B-4023-B31B-54C2F085C2C7}">
          <cx:tx>
            <cx:txData>
              <cx:v>Huva 2_B</cx:v>
            </cx:txData>
          </cx:tx>
          <cx:spPr>
            <a:solidFill>
              <a:srgbClr val="00B050"/>
            </a:solidFill>
            <a:ln>
              <a:solidFill>
                <a:sysClr val="windowText" lastClr="000000"/>
              </a:solidFill>
            </a:ln>
          </cx:spPr>
          <cx:dataId val="7"/>
          <cx:layoutPr>
            <cx:visibility meanLine="1"/>
            <cx:statistics quartileMethod="inclusive"/>
          </cx:layoutPr>
        </cx:series>
        <cx:series layoutId="boxWhisker" uniqueId="{0000000A-AE3B-4023-B31B-54C2F085C2C7}">
          <cx:tx>
            <cx:txData>
              <cx:v>Huva 2_C+DsuzOR69aA!$C$54:$E$54</cx:v>
            </cx:txData>
          </cx:tx>
          <cx:spPr>
            <a:solidFill>
              <a:srgbClr val="FF0000"/>
            </a:solidFill>
            <a:ln>
              <a:solidFill>
                <a:schemeClr val="tx1"/>
              </a:solidFill>
            </a:ln>
          </cx:spPr>
          <cx:dataId val="8"/>
          <cx:layoutPr>
            <cx:visibility meanLine="1"/>
            <cx:statistics quartileMethod="inclusive"/>
          </cx:layoutPr>
        </cx:series>
        <cx:series layoutId="boxWhisker" uniqueId="{0000000B-AE3B-4023-B31B-54C2F085C2C7}">
          <cx:tx>
            <cx:txData>
              <cx:v>Huva 3_A</cx:v>
            </cx:txData>
          </cx:tx>
          <cx:spPr>
            <a:solidFill>
              <a:srgbClr val="0070C0"/>
            </a:solidFill>
            <a:ln>
              <a:solidFill>
                <a:schemeClr val="tx1"/>
              </a:solidFill>
            </a:ln>
          </cx:spPr>
          <cx:dataId val="9"/>
          <cx:layoutPr>
            <cx:visibility meanLine="1"/>
            <cx:statistics quartileMethod="inclusive"/>
          </cx:layoutPr>
        </cx:series>
        <cx:series layoutId="boxWhisker" uniqueId="{0000000C-AE3B-4023-B31B-54C2F085C2C7}">
          <cx:tx>
            <cx:txData>
              <cx:v>Huva 3_B</cx:v>
            </cx:txData>
          </cx:tx>
          <cx:spPr>
            <a:solidFill>
              <a:srgbClr val="00B050"/>
            </a:solidFill>
            <a:ln>
              <a:solidFill>
                <a:schemeClr val="tx1"/>
              </a:solidFill>
            </a:ln>
          </cx:spPr>
          <cx:dataId val="10"/>
          <cx:layoutPr>
            <cx:visibility meanLine="1" meanMarker="1" nonoutliers="1" outliers="1"/>
            <cx:statistics quartileMethod="inclusive"/>
          </cx:layoutPr>
        </cx:series>
        <cx:series layoutId="boxWhisker" uniqueId="{0000000D-AE3B-4023-B31B-54C2F085C2C7}">
          <cx:tx>
            <cx:txData>
              <cx:v>Huva 3_C</cx:v>
            </cx:txData>
          </cx:tx>
          <cx:spPr>
            <a:solidFill>
              <a:srgbClr val="FF0000"/>
            </a:solidFill>
            <a:ln>
              <a:solidFill>
                <a:sysClr val="windowText" lastClr="000000"/>
              </a:solidFill>
            </a:ln>
          </cx:spPr>
          <cx:dataId val="11"/>
          <cx:layoutPr>
            <cx:visibility meanLine="1"/>
            <cx:statistics quartileMethod="inclusive"/>
          </cx:layoutPr>
        </cx:series>
        <cx:series layoutId="boxWhisker" uniqueId="{0000000E-AE3B-4023-B31B-54C2F085C2C7}">
          <cx:tx>
            <cx:txData>
              <cx:v>Huva 4_A</cx:v>
            </cx:txData>
          </cx:tx>
          <cx:spPr>
            <a:solidFill>
              <a:srgbClr val="0070C0"/>
            </a:solidFill>
            <a:ln>
              <a:solidFill>
                <a:schemeClr val="tx1"/>
              </a:solidFill>
            </a:ln>
          </cx:spPr>
          <cx:dataId val="12"/>
          <cx:layoutPr>
            <cx:visibility meanLine="1"/>
            <cx:statistics quartileMethod="inclusive"/>
          </cx:layoutPr>
        </cx:series>
        <cx:series layoutId="boxWhisker" uniqueId="{0000000F-AE3B-4023-B31B-54C2F085C2C7}">
          <cx:tx>
            <cx:txData>
              <cx:v>Huva 4_B</cx:v>
            </cx:txData>
          </cx:tx>
          <cx:spPr>
            <a:solidFill>
              <a:srgbClr val="00B050"/>
            </a:solidFill>
            <a:ln>
              <a:solidFill>
                <a:sysClr val="windowText" lastClr="000000"/>
              </a:solidFill>
            </a:ln>
          </cx:spPr>
          <cx:dataId val="13"/>
          <cx:layoutPr>
            <cx:visibility meanLine="1"/>
            <cx:statistics quartileMethod="inclusive"/>
          </cx:layoutPr>
        </cx:series>
        <cx:series layoutId="boxWhisker" uniqueId="{00000010-AE3B-4023-B31B-54C2F085C2C7}">
          <cx:tx>
            <cx:txData>
              <cx:v>Huva 4_C</cx:v>
            </cx:txData>
          </cx:tx>
          <cx:spPr>
            <a:solidFill>
              <a:srgbClr val="FF0000"/>
            </a:solidFill>
            <a:ln>
              <a:solidFill>
                <a:sysClr val="windowText" lastClr="000000"/>
              </a:solidFill>
            </a:ln>
          </cx:spPr>
          <cx:dataId val="14"/>
          <cx:layoutPr>
            <cx:visibility meanLine="1"/>
            <cx:statistics quartileMethod="inclusive"/>
          </cx:layoutPr>
        </cx:series>
        <cx:series layoutId="boxWhisker" uniqueId="{00000011-AE3B-4023-B31B-54C2F085C2C7}">
          <cx:tx>
            <cx:txData>
              <cx:v>Huva AC_A</cx:v>
            </cx:txData>
          </cx:tx>
          <cx:spPr>
            <a:solidFill>
              <a:srgbClr val="0070C0"/>
            </a:solidFill>
            <a:ln>
              <a:solidFill>
                <a:sysClr val="windowText" lastClr="000000"/>
              </a:solidFill>
            </a:ln>
          </cx:spPr>
          <cx:dataId val="15"/>
          <cx:layoutPr>
            <cx:visibility meanLine="1"/>
            <cx:statistics quartileMethod="inclusive"/>
          </cx:layoutPr>
        </cx:series>
        <cx:series layoutId="boxWhisker" uniqueId="{00000012-AE3B-4023-B31B-54C2F085C2C7}">
          <cx:tx>
            <cx:txData>
              <cx:v>Huva AC_B</cx:v>
            </cx:txData>
          </cx:tx>
          <cx:spPr>
            <a:solidFill>
              <a:srgbClr val="00B050"/>
            </a:solidFill>
            <a:ln>
              <a:solidFill>
                <a:sysClr val="windowText" lastClr="000000"/>
              </a:solidFill>
            </a:ln>
          </cx:spPr>
          <cx:dataId val="16"/>
          <cx:layoutPr>
            <cx:visibility meanLine="1"/>
            <cx:statistics quartileMethod="inclusive"/>
          </cx:layoutPr>
        </cx:series>
        <cx:series layoutId="boxWhisker" uniqueId="{00000013-AE3B-4023-B31B-54C2F085C2C7}">
          <cx:tx>
            <cx:txData>
              <cx:v>Huva AC_C</cx:v>
            </cx:txData>
          </cx:tx>
          <cx:spPr>
            <a:solidFill>
              <a:srgbClr val="FF0000"/>
            </a:solidFill>
            <a:ln>
              <a:solidFill>
                <a:sysClr val="windowText" lastClr="000000"/>
              </a:solidFill>
            </a:ln>
          </cx:spPr>
          <cx:dataId val="17"/>
          <cx:layoutPr>
            <cx:visibility meanLine="1"/>
            <cx:statistics quartileMethod="inclusive"/>
          </cx:layoutPr>
        </cx:series>
      </cx:plotAreaRegion>
      <cx:axis id="0" hidden="1">
        <cx:catScaling gapWidth="0.0399999991"/>
        <cx:tickLabels/>
      </cx:axis>
      <cx:axis id="1">
        <cx:valScaling/>
        <cx:tickLabels/>
        <cx:txPr>
          <a:bodyPr rot="-60000000" spcFirstLastPara="1" vertOverflow="ellipsis" vert="horz" wrap="square" lIns="0" tIns="0" rIns="0" bIns="0" anchor="ctr" anchorCtr="1"/>
          <a:lstStyle/>
          <a:p>
            <a:pPr>
              <a:defRPr sz="1200" baseline="0"/>
            </a:pPr>
            <a:endParaRPr lang="sv-SE" sz="1200" baseline="0"/>
          </a:p>
        </cx:txPr>
      </cx:axis>
    </cx:plotArea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119743</xdr:colOff>
      <xdr:row>38</xdr:row>
      <xdr:rowOff>160564</xdr:rowOff>
    </xdr:from>
    <xdr:to>
      <xdr:col>5</xdr:col>
      <xdr:colOff>570412</xdr:colOff>
      <xdr:row>53</xdr:row>
      <xdr:rowOff>160564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108856</xdr:rowOff>
    </xdr:from>
    <xdr:to>
      <xdr:col>6</xdr:col>
      <xdr:colOff>674915</xdr:colOff>
      <xdr:row>49</xdr:row>
      <xdr:rowOff>119743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40"/>
  <sheetViews>
    <sheetView tabSelected="1" zoomScale="70" zoomScaleNormal="70" workbookViewId="0">
      <selection activeCell="X14" sqref="X14"/>
    </sheetView>
  </sheetViews>
  <sheetFormatPr defaultRowHeight="14.4" x14ac:dyDescent="0.3"/>
  <cols>
    <col min="1" max="1" width="18.77734375" customWidth="1"/>
    <col min="2" max="13" width="10.33203125" customWidth="1"/>
    <col min="14" max="16" width="11.44140625" customWidth="1"/>
    <col min="17" max="17" width="12.33203125" customWidth="1"/>
    <col min="18" max="18" width="15.109375" customWidth="1"/>
    <col min="19" max="19" width="11.44140625" customWidth="1"/>
  </cols>
  <sheetData>
    <row r="1" spans="1:71" x14ac:dyDescent="0.3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ht="14.4" customHeight="1" x14ac:dyDescent="0.3">
      <c r="A2" s="14" t="s">
        <v>40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</row>
    <row r="3" spans="1:7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</row>
    <row r="4" spans="1:7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</row>
    <row r="5" spans="1:71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</row>
    <row r="6" spans="1:71" x14ac:dyDescent="0.3">
      <c r="A6" s="8" t="s">
        <v>0</v>
      </c>
      <c r="B6" s="13" t="s">
        <v>38</v>
      </c>
      <c r="C6" s="13"/>
      <c r="D6" s="13"/>
      <c r="E6" s="13"/>
      <c r="F6" s="13"/>
      <c r="G6" s="13"/>
      <c r="H6" s="9"/>
      <c r="J6" s="1"/>
      <c r="K6" s="1"/>
      <c r="L6" s="1"/>
      <c r="M6" s="1"/>
    </row>
    <row r="7" spans="1:71" x14ac:dyDescent="0.3">
      <c r="A7" t="s">
        <v>4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2" t="s">
        <v>5</v>
      </c>
      <c r="I7" s="2" t="s">
        <v>6</v>
      </c>
      <c r="J7" s="3" t="s">
        <v>7</v>
      </c>
      <c r="K7" s="2" t="s">
        <v>22</v>
      </c>
      <c r="N7" s="2" t="s">
        <v>37</v>
      </c>
      <c r="O7" s="5" t="s">
        <v>34</v>
      </c>
      <c r="P7" s="5" t="s">
        <v>30</v>
      </c>
      <c r="Q7" s="5" t="s">
        <v>31</v>
      </c>
      <c r="R7" s="5" t="s">
        <v>36</v>
      </c>
      <c r="S7" s="5" t="s">
        <v>33</v>
      </c>
    </row>
    <row r="8" spans="1:71" x14ac:dyDescent="0.3">
      <c r="A8" t="s">
        <v>34</v>
      </c>
      <c r="B8">
        <v>0.2</v>
      </c>
      <c r="C8">
        <v>-0.2</v>
      </c>
      <c r="D8">
        <v>-0.2</v>
      </c>
      <c r="E8">
        <v>-3</v>
      </c>
      <c r="F8">
        <v>0.4</v>
      </c>
      <c r="G8">
        <v>-0.4</v>
      </c>
      <c r="H8" s="10">
        <f>AVERAGE(B8:G8)</f>
        <v>-0.53333333333333333</v>
      </c>
      <c r="I8" s="10">
        <f>STDEV(B8:G8)</f>
        <v>1.2436505404118419</v>
      </c>
      <c r="N8" t="s">
        <v>8</v>
      </c>
      <c r="O8">
        <f>_xlfn.QUARTILE.INC(B$8:G$8,0)</f>
        <v>-3</v>
      </c>
      <c r="P8">
        <f>_xlfn.QUARTILE.INC(B$9:G$9,0)</f>
        <v>2.2000000000000002</v>
      </c>
      <c r="Q8">
        <f>_xlfn.QUARTILE.INC(C$10:F$10,0)</f>
        <v>0.6</v>
      </c>
      <c r="R8">
        <f>_xlfn.QUARTILE.INC(D$11:G$11,0)</f>
        <v>-2.2000000000000002</v>
      </c>
      <c r="S8">
        <f>_xlfn.QUARTILE.INC(B$12:F$12,0)</f>
        <v>2.2000000000000002</v>
      </c>
    </row>
    <row r="9" spans="1:71" x14ac:dyDescent="0.3">
      <c r="A9" t="s">
        <v>30</v>
      </c>
      <c r="B9">
        <v>2.2000000000000002</v>
      </c>
      <c r="C9">
        <v>11.4</v>
      </c>
      <c r="D9">
        <v>3</v>
      </c>
      <c r="E9">
        <v>5.2</v>
      </c>
      <c r="F9">
        <v>6.8</v>
      </c>
      <c r="G9">
        <v>9</v>
      </c>
      <c r="H9" s="10">
        <f>AVERAGE(B9:G9)</f>
        <v>6.2666666666666666</v>
      </c>
      <c r="I9" s="10">
        <f>STDEV(B9:G9)</f>
        <v>3.5342137267950644</v>
      </c>
      <c r="J9" s="4">
        <f>_xlfn.T.TEST(B$8:G$8,B9:G9,2,1)</f>
        <v>6.2869545426143683E-3</v>
      </c>
      <c r="K9" t="str">
        <f>IF(J9&lt;0.05,"*","NS")</f>
        <v>*</v>
      </c>
      <c r="N9" t="s">
        <v>9</v>
      </c>
      <c r="O9">
        <f>_xlfn.QUARTILE.INC(B$8:G$8,1)</f>
        <v>-0.35000000000000003</v>
      </c>
      <c r="P9">
        <f>_xlfn.QUARTILE.INC(B$9:G$9,1)</f>
        <v>3.55</v>
      </c>
      <c r="Q9">
        <f>_xlfn.QUARTILE.INC(C$10:F$10,1)</f>
        <v>1.35</v>
      </c>
      <c r="R9">
        <f>_xlfn.QUARTILE.INC(D$11:G$11,1)</f>
        <v>-1.3</v>
      </c>
      <c r="S9">
        <f>_xlfn.QUARTILE.INC(B$12:F$12,1)</f>
        <v>3.4</v>
      </c>
    </row>
    <row r="10" spans="1:71" x14ac:dyDescent="0.3">
      <c r="A10" t="s">
        <v>31</v>
      </c>
      <c r="B10" t="s">
        <v>3</v>
      </c>
      <c r="C10">
        <v>4.2</v>
      </c>
      <c r="D10">
        <v>0.6</v>
      </c>
      <c r="E10">
        <v>2.8</v>
      </c>
      <c r="F10">
        <v>1.6</v>
      </c>
      <c r="G10" t="s">
        <v>3</v>
      </c>
      <c r="H10" s="10">
        <f>AVERAGE(C10:F10)</f>
        <v>2.2999999999999998</v>
      </c>
      <c r="I10" s="10">
        <f>STDEV(C10:F10)</f>
        <v>1.5534906930308061</v>
      </c>
      <c r="J10" s="4">
        <f>_xlfn.T.TEST(C$8:F$8,C10:F10,2,1)</f>
        <v>8.7756430898960083E-2</v>
      </c>
      <c r="K10" t="str">
        <f>IF(J10&lt;0.05,"*","NS")</f>
        <v>NS</v>
      </c>
      <c r="N10" t="s">
        <v>10</v>
      </c>
      <c r="O10">
        <f>_xlfn.QUARTILE.INC(B$8:G$8,2)</f>
        <v>-0.2</v>
      </c>
      <c r="P10">
        <f>_xlfn.QUARTILE.INC(B$9:G$9,2)</f>
        <v>6</v>
      </c>
      <c r="Q10">
        <f>_xlfn.QUARTILE.INC(C$10:F$10,2)</f>
        <v>2.2000000000000002</v>
      </c>
      <c r="R10">
        <f>_xlfn.QUARTILE.INC(D$11:G$11,2)</f>
        <v>-0.5</v>
      </c>
      <c r="S10">
        <f>_xlfn.QUARTILE.INC(B$12:F$12,2)</f>
        <v>6.4</v>
      </c>
    </row>
    <row r="11" spans="1:71" x14ac:dyDescent="0.3">
      <c r="A11" t="s">
        <v>32</v>
      </c>
      <c r="B11" t="s">
        <v>3</v>
      </c>
      <c r="C11" t="s">
        <v>3</v>
      </c>
      <c r="D11">
        <v>3.2</v>
      </c>
      <c r="E11">
        <v>-1</v>
      </c>
      <c r="F11">
        <v>-2.2000000000000002</v>
      </c>
      <c r="G11">
        <v>0</v>
      </c>
      <c r="H11" s="10">
        <f>AVERAGE(D11:G11)</f>
        <v>0</v>
      </c>
      <c r="I11" s="10">
        <f>STDEV(D11:G11)</f>
        <v>2.3151673805580453</v>
      </c>
      <c r="J11" s="4">
        <f>_xlfn.T.TEST(D$8:G$8,D11:G11,2,1)</f>
        <v>0.57863336239431828</v>
      </c>
      <c r="K11" t="str">
        <f>IF(J11&lt;0.05,"*","NS")</f>
        <v>NS</v>
      </c>
      <c r="N11" t="s">
        <v>11</v>
      </c>
      <c r="O11">
        <f>_xlfn.QUARTILE.INC(B$8:G$8,3)</f>
        <v>0.10000000000000003</v>
      </c>
      <c r="P11">
        <f>_xlfn.QUARTILE.INC(B$9:G$9,3)</f>
        <v>8.4499999999999993</v>
      </c>
      <c r="Q11">
        <f>_xlfn.QUARTILE.INC(C$10:F$10,3)</f>
        <v>3.15</v>
      </c>
      <c r="R11">
        <f>_xlfn.QUARTILE.INC(D$11:G$11,3)</f>
        <v>0.8</v>
      </c>
      <c r="S11">
        <f>_xlfn.QUARTILE.INC(B$12:F$12,3)</f>
        <v>8</v>
      </c>
    </row>
    <row r="12" spans="1:71" x14ac:dyDescent="0.3">
      <c r="A12" t="s">
        <v>33</v>
      </c>
      <c r="B12">
        <v>6.4</v>
      </c>
      <c r="C12">
        <v>8</v>
      </c>
      <c r="D12">
        <v>3.4</v>
      </c>
      <c r="E12">
        <v>10.4</v>
      </c>
      <c r="F12">
        <v>2.2000000000000002</v>
      </c>
      <c r="G12" t="s">
        <v>3</v>
      </c>
      <c r="H12" s="10">
        <f>AVERAGE(B12:F12)</f>
        <v>6.08</v>
      </c>
      <c r="I12" s="10">
        <f>STDEV(B12:F12)</f>
        <v>3.3424541881677299</v>
      </c>
      <c r="J12" s="4">
        <f>_xlfn.T.TEST(B$8:F$8,B12:F12,2,1)</f>
        <v>2.9944490010470202E-2</v>
      </c>
      <c r="K12" t="str">
        <f>IF(J12&lt;0.05,"*","NS")</f>
        <v>*</v>
      </c>
      <c r="N12" t="s">
        <v>12</v>
      </c>
      <c r="O12">
        <f>_xlfn.QUARTILE.INC(B$8:G$8,4)</f>
        <v>0.4</v>
      </c>
      <c r="P12">
        <f>_xlfn.QUARTILE.INC(B$9:G$9,4)</f>
        <v>11.4</v>
      </c>
      <c r="Q12">
        <f>_xlfn.QUARTILE.INC(C$10:F$10,4)</f>
        <v>4.2</v>
      </c>
      <c r="R12">
        <f>_xlfn.QUARTILE.INC(D$11:G$11,4)</f>
        <v>3.2</v>
      </c>
      <c r="S12">
        <f>_xlfn.QUARTILE.INC(B$12:F$12,4)</f>
        <v>10.4</v>
      </c>
    </row>
    <row r="13" spans="1:71" x14ac:dyDescent="0.3">
      <c r="J13" s="4"/>
      <c r="N13" t="s">
        <v>13</v>
      </c>
      <c r="O13">
        <f>O12-O8</f>
        <v>3.4</v>
      </c>
      <c r="P13">
        <f t="shared" ref="P13:S13" si="0">P12-P8</f>
        <v>9.1999999999999993</v>
      </c>
      <c r="Q13">
        <f t="shared" si="0"/>
        <v>3.6</v>
      </c>
      <c r="R13">
        <f t="shared" si="0"/>
        <v>5.4</v>
      </c>
      <c r="S13">
        <f t="shared" si="0"/>
        <v>8.1999999999999993</v>
      </c>
    </row>
    <row r="14" spans="1:71" x14ac:dyDescent="0.3">
      <c r="N14" t="s">
        <v>14</v>
      </c>
      <c r="O14">
        <f>O11-O9</f>
        <v>0.45000000000000007</v>
      </c>
      <c r="P14">
        <f t="shared" ref="P14:S14" si="1">P11-P9</f>
        <v>4.8999999999999995</v>
      </c>
      <c r="Q14">
        <f t="shared" si="1"/>
        <v>1.7999999999999998</v>
      </c>
      <c r="R14">
        <f t="shared" si="1"/>
        <v>2.1</v>
      </c>
      <c r="S14">
        <f t="shared" si="1"/>
        <v>4.5999999999999996</v>
      </c>
    </row>
    <row r="15" spans="1:71" x14ac:dyDescent="0.3">
      <c r="N15" t="s">
        <v>15</v>
      </c>
      <c r="O15">
        <f>O9-(O14*1.5)</f>
        <v>-1.0250000000000001</v>
      </c>
      <c r="P15">
        <f t="shared" ref="P15:S15" si="2">P9-(P14*1.5)</f>
        <v>-3.8</v>
      </c>
      <c r="Q15">
        <f t="shared" si="2"/>
        <v>-1.3499999999999996</v>
      </c>
      <c r="R15">
        <f t="shared" si="2"/>
        <v>-4.45</v>
      </c>
      <c r="S15">
        <f t="shared" si="2"/>
        <v>-3.4999999999999996</v>
      </c>
    </row>
    <row r="16" spans="1:71" x14ac:dyDescent="0.3">
      <c r="N16" t="s">
        <v>16</v>
      </c>
      <c r="O16">
        <f>O11+(O14*1.5)</f>
        <v>0.77500000000000013</v>
      </c>
      <c r="P16">
        <f t="shared" ref="P16:S16" si="3">P11+(P14*1.5)</f>
        <v>15.799999999999999</v>
      </c>
      <c r="Q16">
        <f t="shared" si="3"/>
        <v>5.85</v>
      </c>
      <c r="R16">
        <f t="shared" si="3"/>
        <v>3.95</v>
      </c>
      <c r="S16">
        <f t="shared" si="3"/>
        <v>14.899999999999999</v>
      </c>
    </row>
    <row r="18" spans="1:19" x14ac:dyDescent="0.3">
      <c r="A18" s="7" t="s">
        <v>1</v>
      </c>
      <c r="B18" s="13" t="s">
        <v>38</v>
      </c>
      <c r="C18" s="13"/>
      <c r="D18" s="13"/>
      <c r="E18" s="13"/>
      <c r="F18" s="13"/>
      <c r="G18" s="13"/>
      <c r="H18" s="13"/>
      <c r="I18" s="13"/>
      <c r="J18" s="13"/>
    </row>
    <row r="19" spans="1:19" x14ac:dyDescent="0.3">
      <c r="A19" t="s">
        <v>4</v>
      </c>
      <c r="B19" s="1" t="s">
        <v>23</v>
      </c>
      <c r="C19" s="1" t="s">
        <v>24</v>
      </c>
      <c r="D19" s="1" t="s">
        <v>25</v>
      </c>
      <c r="E19" s="1" t="s">
        <v>26</v>
      </c>
      <c r="F19" s="1" t="s">
        <v>27</v>
      </c>
      <c r="G19" s="1" t="s">
        <v>28</v>
      </c>
      <c r="H19" s="1" t="s">
        <v>29</v>
      </c>
      <c r="I19" s="2" t="s">
        <v>5</v>
      </c>
      <c r="J19" s="2" t="s">
        <v>6</v>
      </c>
      <c r="K19" s="3" t="s">
        <v>7</v>
      </c>
      <c r="L19" s="2" t="s">
        <v>22</v>
      </c>
      <c r="N19" s="2" t="s">
        <v>37</v>
      </c>
      <c r="O19" s="5" t="s">
        <v>34</v>
      </c>
      <c r="P19" s="5" t="s">
        <v>30</v>
      </c>
      <c r="Q19" s="5" t="s">
        <v>31</v>
      </c>
      <c r="R19" s="5" t="s">
        <v>36</v>
      </c>
      <c r="S19" s="5" t="s">
        <v>33</v>
      </c>
    </row>
    <row r="20" spans="1:19" x14ac:dyDescent="0.3">
      <c r="A20" t="s">
        <v>34</v>
      </c>
      <c r="B20">
        <v>9.1999999999999993</v>
      </c>
      <c r="C20">
        <v>0.4</v>
      </c>
      <c r="D20">
        <v>2.4</v>
      </c>
      <c r="E20">
        <v>-0.2</v>
      </c>
      <c r="F20">
        <v>-8.1999999999999993</v>
      </c>
      <c r="G20">
        <v>0.2</v>
      </c>
      <c r="H20">
        <v>-1.8</v>
      </c>
      <c r="I20" s="10">
        <f>AVERAGE(B20:H20)</f>
        <v>0.28571428571428598</v>
      </c>
      <c r="J20" s="10">
        <f>STDEV(B20:H20)</f>
        <v>5.1728227534002391</v>
      </c>
      <c r="N20" t="s">
        <v>8</v>
      </c>
      <c r="O20">
        <f>_xlfn.QUARTILE.INC(B$20:H$20,0)</f>
        <v>-8.1999999999999993</v>
      </c>
      <c r="P20">
        <f>_xlfn.QUARTILE.INC(D$21:H$21,0)</f>
        <v>-6.2</v>
      </c>
      <c r="Q20">
        <f>_xlfn.QUARTILE.INC(D$22:G$22,0)</f>
        <v>6.6</v>
      </c>
      <c r="R20">
        <f>_xlfn.QUARTILE.INC(E$23:H$23,0)</f>
        <v>21.6</v>
      </c>
      <c r="S20">
        <f>_xlfn.QUARTILE.INC(D$24:H$24,0)</f>
        <v>14.6</v>
      </c>
    </row>
    <row r="21" spans="1:19" x14ac:dyDescent="0.3">
      <c r="A21" t="s">
        <v>30</v>
      </c>
      <c r="B21" t="s">
        <v>3</v>
      </c>
      <c r="C21" t="s">
        <v>3</v>
      </c>
      <c r="D21">
        <v>-4.5999999999999996</v>
      </c>
      <c r="E21">
        <v>-4.2</v>
      </c>
      <c r="F21">
        <v>0</v>
      </c>
      <c r="G21">
        <v>-1.8</v>
      </c>
      <c r="H21">
        <v>-6.2</v>
      </c>
      <c r="I21" s="10">
        <f>AVERAGE(D21:H21)</f>
        <v>-3.3600000000000003</v>
      </c>
      <c r="J21" s="10">
        <f>STDEV(D21:H21)</f>
        <v>2.4511221919765651</v>
      </c>
      <c r="K21" s="4">
        <f>_xlfn.T.TEST(D$20:H$20,D21:H21,2,1)</f>
        <v>0.52318775049281918</v>
      </c>
      <c r="L21" t="str">
        <f>IF(K21&lt;0.05,"*","NS")</f>
        <v>NS</v>
      </c>
      <c r="N21" t="s">
        <v>9</v>
      </c>
      <c r="O21">
        <f>_xlfn.QUARTILE.INC(B$20:H$20,1)</f>
        <v>-1</v>
      </c>
      <c r="P21">
        <f>_xlfn.QUARTILE.INC(D$21:H$21,1)</f>
        <v>-4.5999999999999996</v>
      </c>
      <c r="Q21">
        <f>_xlfn.QUARTILE.INC(D$22:G$22,1)</f>
        <v>11.7</v>
      </c>
      <c r="R21">
        <f>_xlfn.QUARTILE.INC(E$23:H$23,1)</f>
        <v>30.6</v>
      </c>
      <c r="S21">
        <f>_xlfn.QUARTILE.INC(D$24:H$24,1)</f>
        <v>18</v>
      </c>
    </row>
    <row r="22" spans="1:19" x14ac:dyDescent="0.3">
      <c r="A22" t="s">
        <v>31</v>
      </c>
      <c r="B22" t="s">
        <v>3</v>
      </c>
      <c r="C22" t="s">
        <v>3</v>
      </c>
      <c r="D22">
        <v>20</v>
      </c>
      <c r="E22">
        <v>13.4</v>
      </c>
      <c r="F22">
        <v>6.6</v>
      </c>
      <c r="G22">
        <v>13.8</v>
      </c>
      <c r="H22" t="s">
        <v>3</v>
      </c>
      <c r="I22" s="10">
        <f>AVERAGE(D22:G22)</f>
        <v>13.45</v>
      </c>
      <c r="J22" s="10">
        <f>STDEV(D22:G22)</f>
        <v>5.4757039121316033</v>
      </c>
      <c r="K22" s="4">
        <f>_xlfn.T.TEST(D$20:G$20,D22:G22,2,1)</f>
        <v>5.517782380819765E-4</v>
      </c>
      <c r="L22" t="str">
        <f>IF(K22&lt;0.05,"*","NS")</f>
        <v>*</v>
      </c>
      <c r="N22" t="s">
        <v>10</v>
      </c>
      <c r="O22">
        <f>_xlfn.QUARTILE.INC(B$20:H$20,2)</f>
        <v>0.2</v>
      </c>
      <c r="P22">
        <f>_xlfn.QUARTILE.INC(D$21:H$21,2)</f>
        <v>-4.2</v>
      </c>
      <c r="Q22">
        <f>_xlfn.QUARTILE.INC(D$22:G$22,2)</f>
        <v>13.600000000000001</v>
      </c>
      <c r="R22">
        <f>_xlfn.QUARTILE.INC(E$23:H$23,2)</f>
        <v>37.299999999999997</v>
      </c>
      <c r="S22">
        <f>_xlfn.QUARTILE.INC(D$24:H$24,2)</f>
        <v>23.6</v>
      </c>
    </row>
    <row r="23" spans="1:19" x14ac:dyDescent="0.3">
      <c r="A23" t="s">
        <v>32</v>
      </c>
      <c r="B23" t="s">
        <v>3</v>
      </c>
      <c r="C23" t="s">
        <v>3</v>
      </c>
      <c r="D23" t="s">
        <v>3</v>
      </c>
      <c r="E23">
        <v>33.6</v>
      </c>
      <c r="F23">
        <v>21.6</v>
      </c>
      <c r="G23">
        <v>68.2</v>
      </c>
      <c r="H23">
        <v>41</v>
      </c>
      <c r="I23" s="10">
        <f>AVERAGE(E23:H23)</f>
        <v>41.1</v>
      </c>
      <c r="J23" s="10">
        <f>STDEV(E23:H23)</f>
        <v>19.756180467556643</v>
      </c>
      <c r="K23" s="4">
        <f>_xlfn.T.TEST(E$20:H$20,E23:H23,2,1)</f>
        <v>1.4702563429380967E-2</v>
      </c>
      <c r="L23" t="str">
        <f>IF(K23&lt;0.05,"*","NS")</f>
        <v>*</v>
      </c>
      <c r="N23" t="s">
        <v>11</v>
      </c>
      <c r="O23">
        <f>_xlfn.QUARTILE.INC(B$20:H$20,3)</f>
        <v>1.4</v>
      </c>
      <c r="P23">
        <f>_xlfn.QUARTILE.INC(D$21:H$21,3)</f>
        <v>-1.8</v>
      </c>
      <c r="Q23">
        <f>_xlfn.QUARTILE.INC(D$22:G$22,3)</f>
        <v>15.350000000000001</v>
      </c>
      <c r="R23">
        <f>_xlfn.QUARTILE.INC(E$23:H$23,3)</f>
        <v>47.8</v>
      </c>
      <c r="S23">
        <f>_xlfn.QUARTILE.INC(D$24:H$24,3)</f>
        <v>26.4</v>
      </c>
    </row>
    <row r="24" spans="1:19" x14ac:dyDescent="0.3">
      <c r="A24" t="s">
        <v>33</v>
      </c>
      <c r="B24" t="s">
        <v>3</v>
      </c>
      <c r="C24" t="s">
        <v>3</v>
      </c>
      <c r="D24">
        <v>26.4</v>
      </c>
      <c r="E24">
        <v>23.6</v>
      </c>
      <c r="F24">
        <v>14.6</v>
      </c>
      <c r="G24">
        <v>34.200000000000003</v>
      </c>
      <c r="H24">
        <v>18</v>
      </c>
      <c r="I24" s="10">
        <f>AVERAGE(D24:H24)</f>
        <v>23.36</v>
      </c>
      <c r="J24" s="10">
        <f>STDEV(D24:H24)</f>
        <v>7.6202362168111364</v>
      </c>
      <c r="K24" s="4">
        <f>_xlfn.T.TEST(D$20:H$20,D24:H24,2,1)</f>
        <v>4.8918569497792574E-4</v>
      </c>
      <c r="L24" t="str">
        <f>IF(K24&lt;0.05,"*","NS")</f>
        <v>*</v>
      </c>
      <c r="N24" t="s">
        <v>12</v>
      </c>
      <c r="O24">
        <f>_xlfn.QUARTILE.INC(B$20:H$20,4)</f>
        <v>9.1999999999999993</v>
      </c>
      <c r="P24">
        <f>_xlfn.QUARTILE.INC(D$21:H$21,4)</f>
        <v>0</v>
      </c>
      <c r="Q24">
        <f>_xlfn.QUARTILE.INC(D$22:G$22,4)</f>
        <v>20</v>
      </c>
      <c r="R24">
        <f>_xlfn.QUARTILE.INC(E$23:H$23,4)</f>
        <v>68.2</v>
      </c>
      <c r="S24">
        <f>_xlfn.QUARTILE.INC(D$24:H$24,4)</f>
        <v>34.200000000000003</v>
      </c>
    </row>
    <row r="25" spans="1:19" x14ac:dyDescent="0.3">
      <c r="N25" t="s">
        <v>13</v>
      </c>
      <c r="O25">
        <f>O24-O20</f>
        <v>17.399999999999999</v>
      </c>
      <c r="P25">
        <f t="shared" ref="P25:S25" si="4">P24-P20</f>
        <v>6.2</v>
      </c>
      <c r="Q25">
        <f>Q24-Q20</f>
        <v>13.4</v>
      </c>
      <c r="R25">
        <f t="shared" si="4"/>
        <v>46.6</v>
      </c>
      <c r="S25">
        <f t="shared" si="4"/>
        <v>19.600000000000001</v>
      </c>
    </row>
    <row r="26" spans="1:19" x14ac:dyDescent="0.3">
      <c r="N26" t="s">
        <v>14</v>
      </c>
      <c r="O26">
        <f>O23-O21</f>
        <v>2.4</v>
      </c>
      <c r="P26">
        <f t="shared" ref="P26:S26" si="5">P23-P21</f>
        <v>2.8</v>
      </c>
      <c r="Q26">
        <f>Q23-Q21</f>
        <v>3.6500000000000021</v>
      </c>
      <c r="R26">
        <f t="shared" si="5"/>
        <v>17.199999999999996</v>
      </c>
      <c r="S26">
        <f t="shared" si="5"/>
        <v>8.3999999999999986</v>
      </c>
    </row>
    <row r="27" spans="1:19" x14ac:dyDescent="0.3">
      <c r="N27" t="s">
        <v>15</v>
      </c>
      <c r="O27">
        <f>O21-(O26*1.5)</f>
        <v>-4.5999999999999996</v>
      </c>
      <c r="P27">
        <f t="shared" ref="P27:S27" si="6">P21-(P26*1.5)</f>
        <v>-8.7999999999999989</v>
      </c>
      <c r="Q27">
        <f>Q21-(Q26*1.5)</f>
        <v>6.2249999999999961</v>
      </c>
      <c r="R27">
        <f t="shared" si="6"/>
        <v>4.8000000000000078</v>
      </c>
      <c r="S27">
        <f t="shared" si="6"/>
        <v>5.4000000000000021</v>
      </c>
    </row>
    <row r="28" spans="1:19" x14ac:dyDescent="0.3">
      <c r="N28" t="s">
        <v>16</v>
      </c>
      <c r="O28">
        <f>O23+(O26*1.5)</f>
        <v>5</v>
      </c>
      <c r="P28">
        <f t="shared" ref="P28:S28" si="7">P23+(P26*1.5)</f>
        <v>2.3999999999999995</v>
      </c>
      <c r="Q28">
        <f t="shared" si="7"/>
        <v>20.825000000000003</v>
      </c>
      <c r="R28">
        <f t="shared" si="7"/>
        <v>73.599999999999994</v>
      </c>
      <c r="S28">
        <f t="shared" si="7"/>
        <v>39</v>
      </c>
    </row>
    <row r="30" spans="1:19" x14ac:dyDescent="0.3">
      <c r="A30" s="6" t="s">
        <v>2</v>
      </c>
      <c r="B30" s="13" t="s">
        <v>38</v>
      </c>
      <c r="C30" s="13"/>
      <c r="D30" s="13"/>
      <c r="E30" s="13"/>
      <c r="F30" s="13"/>
      <c r="G30" s="13"/>
      <c r="H30" s="13"/>
      <c r="I30" s="13"/>
    </row>
    <row r="31" spans="1:19" x14ac:dyDescent="0.3">
      <c r="A31" t="s">
        <v>4</v>
      </c>
      <c r="B31" s="1" t="s">
        <v>23</v>
      </c>
      <c r="C31" s="1" t="s">
        <v>24</v>
      </c>
      <c r="D31" s="1" t="s">
        <v>25</v>
      </c>
      <c r="E31" s="1" t="s">
        <v>26</v>
      </c>
      <c r="F31" s="1" t="s">
        <v>27</v>
      </c>
      <c r="G31" s="1" t="s">
        <v>28</v>
      </c>
      <c r="H31" s="1" t="s">
        <v>29</v>
      </c>
      <c r="I31" s="2" t="s">
        <v>5</v>
      </c>
      <c r="J31" s="2" t="s">
        <v>6</v>
      </c>
      <c r="K31" s="3" t="s">
        <v>7</v>
      </c>
      <c r="L31" s="2" t="s">
        <v>22</v>
      </c>
      <c r="N31" s="2" t="s">
        <v>37</v>
      </c>
      <c r="O31" s="5" t="s">
        <v>34</v>
      </c>
      <c r="P31" s="5" t="s">
        <v>30</v>
      </c>
      <c r="Q31" s="5" t="s">
        <v>31</v>
      </c>
      <c r="R31" s="5" t="s">
        <v>36</v>
      </c>
      <c r="S31" s="5" t="s">
        <v>33</v>
      </c>
    </row>
    <row r="32" spans="1:19" x14ac:dyDescent="0.3">
      <c r="A32" t="s">
        <v>34</v>
      </c>
      <c r="B32">
        <v>1.4</v>
      </c>
      <c r="C32">
        <v>1</v>
      </c>
      <c r="D32">
        <v>-0.2</v>
      </c>
      <c r="E32">
        <v>1.2</v>
      </c>
      <c r="F32">
        <v>1.8</v>
      </c>
      <c r="G32">
        <v>1.4</v>
      </c>
      <c r="H32">
        <v>1.8</v>
      </c>
      <c r="I32" s="10">
        <f>AVERAGE(B32:H32)</f>
        <v>1.2</v>
      </c>
      <c r="J32" s="10">
        <f>STDEV(B32:H32)</f>
        <v>0.68313005106397306</v>
      </c>
      <c r="N32" t="s">
        <v>8</v>
      </c>
      <c r="O32">
        <f>_xlfn.QUARTILE.INC(B$32:H$32,0)</f>
        <v>-0.2</v>
      </c>
      <c r="P32">
        <f>_xlfn.QUARTILE.INC(B$33:H$33,0)</f>
        <v>3.2</v>
      </c>
      <c r="Q32">
        <f>_xlfn.QUARTILE.INC(B$34:H$34,0)</f>
        <v>0.2</v>
      </c>
      <c r="R32">
        <f>_xlfn.QUARTILE.INC(D$35:H$35,0)</f>
        <v>1.2</v>
      </c>
      <c r="S32">
        <f>_xlfn.QUARTILE.INC(B$36:H$36,0)</f>
        <v>-0.6</v>
      </c>
    </row>
    <row r="33" spans="1:19" x14ac:dyDescent="0.3">
      <c r="A33" t="s">
        <v>30</v>
      </c>
      <c r="B33">
        <v>22.8</v>
      </c>
      <c r="C33">
        <v>9.8000000000000007</v>
      </c>
      <c r="D33">
        <v>12.8</v>
      </c>
      <c r="E33">
        <v>10.4</v>
      </c>
      <c r="F33">
        <v>10.6</v>
      </c>
      <c r="G33">
        <v>3.8</v>
      </c>
      <c r="H33">
        <v>3.2</v>
      </c>
      <c r="I33" s="10">
        <f>AVERAGE(B33:H33)</f>
        <v>10.485714285714286</v>
      </c>
      <c r="J33" s="10">
        <f>STDEV(B33:H33)</f>
        <v>6.5226345831084167</v>
      </c>
      <c r="K33" s="4">
        <f>_xlfn.T.TEST(B$32:H$32,B33:H33,2,1)</f>
        <v>1.060368856776504E-2</v>
      </c>
      <c r="L33" t="str">
        <f>IF(K33&lt;0.05,"*","NS")</f>
        <v>*</v>
      </c>
      <c r="N33" t="s">
        <v>9</v>
      </c>
      <c r="O33">
        <f>_xlfn.QUARTILE.INC(B$32:H$32,1)</f>
        <v>1.1000000000000001</v>
      </c>
      <c r="P33">
        <f>_xlfn.QUARTILE.INC(B$33:H$33,1)</f>
        <v>6.8000000000000007</v>
      </c>
      <c r="Q33">
        <f>_xlfn.QUARTILE.INC(B$34:H$34,1)</f>
        <v>0.4</v>
      </c>
      <c r="R33">
        <f>_xlfn.QUARTILE.INC(D$35:H$35,1)</f>
        <v>1.4</v>
      </c>
      <c r="S33">
        <f>_xlfn.QUARTILE.INC(B$36:H$36,1)</f>
        <v>1.4</v>
      </c>
    </row>
    <row r="34" spans="1:19" x14ac:dyDescent="0.3">
      <c r="A34" t="s">
        <v>31</v>
      </c>
      <c r="B34">
        <v>0.2</v>
      </c>
      <c r="C34">
        <v>0.6</v>
      </c>
      <c r="D34">
        <v>1.6</v>
      </c>
      <c r="E34">
        <v>6.2</v>
      </c>
      <c r="F34">
        <v>1.8</v>
      </c>
      <c r="G34">
        <v>2.4</v>
      </c>
      <c r="H34">
        <v>0.2</v>
      </c>
      <c r="I34" s="10">
        <f>AVERAGE(B34:H34)</f>
        <v>1.8571428571428574</v>
      </c>
      <c r="J34" s="10">
        <f>STDEV(B34:H34)</f>
        <v>2.093527440196842</v>
      </c>
      <c r="K34" s="4">
        <f>_xlfn.T.TEST(B$32:H$32,B34:H34,2,1)</f>
        <v>0.46903521726493214</v>
      </c>
      <c r="L34" t="str">
        <f>IF(K34&lt;0.05,"*","NS")</f>
        <v>NS</v>
      </c>
      <c r="N34" t="s">
        <v>10</v>
      </c>
      <c r="O34">
        <f>_xlfn.QUARTILE.INC(B$32:H$32,2)</f>
        <v>1.4</v>
      </c>
      <c r="P34">
        <f>_xlfn.QUARTILE.INC(B$33:H$33,2)</f>
        <v>10.4</v>
      </c>
      <c r="Q34">
        <f>_xlfn.QUARTILE.INC(B$34:H$34,2)</f>
        <v>1.6</v>
      </c>
      <c r="R34">
        <f>_xlfn.QUARTILE.INC(D$35:H$35,2)</f>
        <v>3</v>
      </c>
      <c r="S34">
        <f>_xlfn.QUARTILE.INC(B$36:H$36,2)</f>
        <v>3.2</v>
      </c>
    </row>
    <row r="35" spans="1:19" x14ac:dyDescent="0.3">
      <c r="A35" t="s">
        <v>32</v>
      </c>
      <c r="B35" t="s">
        <v>3</v>
      </c>
      <c r="C35" t="s">
        <v>3</v>
      </c>
      <c r="D35">
        <v>1.4</v>
      </c>
      <c r="E35">
        <v>7.2</v>
      </c>
      <c r="F35">
        <v>3</v>
      </c>
      <c r="G35">
        <v>1.2</v>
      </c>
      <c r="H35">
        <v>3.2</v>
      </c>
      <c r="I35" s="10">
        <f>AVERAGE(B35:H35)</f>
        <v>3.2</v>
      </c>
      <c r="J35" s="10">
        <f>STDEV(B35:H35)</f>
        <v>2.4124676163629646</v>
      </c>
      <c r="K35" s="4">
        <f>_xlfn.T.TEST(D$32:H$32,D35:H35,2,1)</f>
        <v>0.12920298463941018</v>
      </c>
      <c r="L35" t="str">
        <f>IF(K35&lt;0.05,"*","NS")</f>
        <v>NS</v>
      </c>
      <c r="N35" t="s">
        <v>11</v>
      </c>
      <c r="O35">
        <f>_xlfn.QUARTILE.INC(B$32:H$32,3)</f>
        <v>1.6</v>
      </c>
      <c r="P35">
        <f>_xlfn.QUARTILE.INC(B$33:H$33,3)</f>
        <v>11.7</v>
      </c>
      <c r="Q35">
        <f>_xlfn.QUARTILE.INC(B$34:H$34,3)</f>
        <v>2.1</v>
      </c>
      <c r="R35">
        <f>_xlfn.QUARTILE.INC(D$35:H$35,3)</f>
        <v>3.2</v>
      </c>
      <c r="S35">
        <f>_xlfn.QUARTILE.INC(B$36:H$36,3)</f>
        <v>8.6999999999999993</v>
      </c>
    </row>
    <row r="36" spans="1:19" x14ac:dyDescent="0.3">
      <c r="A36" t="s">
        <v>33</v>
      </c>
      <c r="B36">
        <v>1.8</v>
      </c>
      <c r="C36">
        <v>-0.6</v>
      </c>
      <c r="D36">
        <v>1</v>
      </c>
      <c r="E36">
        <v>9.1999999999999993</v>
      </c>
      <c r="F36">
        <v>10</v>
      </c>
      <c r="G36">
        <v>8.1999999999999993</v>
      </c>
      <c r="H36">
        <v>3.2</v>
      </c>
      <c r="I36" s="10">
        <f>AVERAGE(B36:H36)</f>
        <v>4.6857142857142851</v>
      </c>
      <c r="J36" s="10">
        <f>STDEV(B36:H36)</f>
        <v>4.3402874603066595</v>
      </c>
      <c r="K36" s="4">
        <f>_xlfn.T.TEST(B$32:H$32,B36:H36,2,1)</f>
        <v>6.3182241704802911E-2</v>
      </c>
      <c r="L36" t="str">
        <f>IF(K36&lt;0.05,"*","NS")</f>
        <v>NS</v>
      </c>
      <c r="N36" t="s">
        <v>12</v>
      </c>
      <c r="O36">
        <f>_xlfn.QUARTILE.INC(B$32:H$32,4)</f>
        <v>1.8</v>
      </c>
      <c r="P36">
        <f>_xlfn.QUARTILE.INC(B$33:H$33,4)</f>
        <v>22.8</v>
      </c>
      <c r="Q36">
        <f>_xlfn.QUARTILE.INC(B$34:H$34,4)</f>
        <v>6.2</v>
      </c>
      <c r="R36">
        <f>_xlfn.QUARTILE.INC(D$35:G$35,4)</f>
        <v>7.2</v>
      </c>
      <c r="S36">
        <f>_xlfn.QUARTILE.INC(B$36:H$36,4)</f>
        <v>10</v>
      </c>
    </row>
    <row r="37" spans="1:19" x14ac:dyDescent="0.3">
      <c r="K37" s="4"/>
      <c r="N37" t="s">
        <v>13</v>
      </c>
      <c r="O37">
        <f>O36-O32</f>
        <v>2</v>
      </c>
      <c r="P37">
        <f t="shared" ref="P37:S37" si="8">P36-P32</f>
        <v>19.600000000000001</v>
      </c>
      <c r="Q37">
        <f t="shared" si="8"/>
        <v>6</v>
      </c>
      <c r="R37">
        <f t="shared" si="8"/>
        <v>6</v>
      </c>
      <c r="S37">
        <f t="shared" si="8"/>
        <v>10.6</v>
      </c>
    </row>
    <row r="38" spans="1:19" x14ac:dyDescent="0.3">
      <c r="N38" t="s">
        <v>14</v>
      </c>
      <c r="O38">
        <f>O35-O33</f>
        <v>0.5</v>
      </c>
      <c r="P38">
        <f t="shared" ref="P38:S38" si="9">P35-P33</f>
        <v>4.8999999999999986</v>
      </c>
      <c r="Q38">
        <f t="shared" si="9"/>
        <v>1.7000000000000002</v>
      </c>
      <c r="R38">
        <f t="shared" si="9"/>
        <v>1.8000000000000003</v>
      </c>
      <c r="S38">
        <f t="shared" si="9"/>
        <v>7.2999999999999989</v>
      </c>
    </row>
    <row r="39" spans="1:19" x14ac:dyDescent="0.3">
      <c r="N39" t="s">
        <v>15</v>
      </c>
      <c r="O39">
        <f>O33-(O38*1.5)</f>
        <v>0.35000000000000009</v>
      </c>
      <c r="P39">
        <f t="shared" ref="P39:S39" si="10">P33-(P38*1.5)</f>
        <v>-0.54999999999999716</v>
      </c>
      <c r="Q39">
        <f t="shared" si="10"/>
        <v>-2.1500000000000004</v>
      </c>
      <c r="R39">
        <f t="shared" si="10"/>
        <v>-1.3000000000000003</v>
      </c>
      <c r="S39">
        <f t="shared" si="10"/>
        <v>-9.5499999999999989</v>
      </c>
    </row>
    <row r="40" spans="1:19" x14ac:dyDescent="0.3">
      <c r="N40" t="s">
        <v>16</v>
      </c>
      <c r="O40">
        <f>O35+(O38*1.5)</f>
        <v>2.35</v>
      </c>
      <c r="P40">
        <f t="shared" ref="P40:S40" si="11">P35+(P38*1.5)</f>
        <v>19.049999999999997</v>
      </c>
      <c r="Q40">
        <f t="shared" si="11"/>
        <v>4.6500000000000004</v>
      </c>
      <c r="R40">
        <f t="shared" si="11"/>
        <v>5.9</v>
      </c>
      <c r="S40">
        <f t="shared" si="11"/>
        <v>19.649999999999999</v>
      </c>
    </row>
  </sheetData>
  <mergeCells count="5">
    <mergeCell ref="B30:I30"/>
    <mergeCell ref="B18:J18"/>
    <mergeCell ref="B6:G6"/>
    <mergeCell ref="A2:S4"/>
    <mergeCell ref="A1:S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zoomScale="70" zoomScaleNormal="70" workbookViewId="0">
      <selection activeCell="V14" sqref="V14"/>
    </sheetView>
  </sheetViews>
  <sheetFormatPr defaultRowHeight="14.4" x14ac:dyDescent="0.3"/>
  <cols>
    <col min="1" max="1" width="18.77734375" customWidth="1"/>
    <col min="2" max="12" width="10.33203125" customWidth="1"/>
    <col min="13" max="19" width="11.44140625" customWidth="1"/>
  </cols>
  <sheetData>
    <row r="1" spans="1:19" x14ac:dyDescent="0.3">
      <c r="A1" s="8" t="s">
        <v>0</v>
      </c>
      <c r="B1" s="13" t="s">
        <v>38</v>
      </c>
      <c r="C1" s="13"/>
      <c r="D1" s="13"/>
      <c r="E1" s="13"/>
      <c r="I1" s="1"/>
      <c r="J1" s="1"/>
      <c r="K1" s="1"/>
      <c r="L1" s="1"/>
    </row>
    <row r="2" spans="1:19" x14ac:dyDescent="0.3">
      <c r="A2" t="s">
        <v>35</v>
      </c>
      <c r="B2" s="1" t="s">
        <v>23</v>
      </c>
      <c r="C2" s="1" t="s">
        <v>24</v>
      </c>
      <c r="D2" s="1" t="s">
        <v>25</v>
      </c>
      <c r="E2" s="2" t="s">
        <v>5</v>
      </c>
      <c r="F2" s="2" t="s">
        <v>6</v>
      </c>
      <c r="G2" s="3" t="s">
        <v>7</v>
      </c>
      <c r="H2" s="2" t="s">
        <v>22</v>
      </c>
      <c r="I2" s="2"/>
      <c r="M2" s="2" t="s">
        <v>37</v>
      </c>
      <c r="N2" s="5" t="s">
        <v>34</v>
      </c>
      <c r="O2" s="5" t="s">
        <v>17</v>
      </c>
      <c r="P2" s="5" t="s">
        <v>18</v>
      </c>
      <c r="Q2" s="5" t="s">
        <v>19</v>
      </c>
      <c r="R2" s="5" t="s">
        <v>20</v>
      </c>
      <c r="S2" s="5" t="s">
        <v>21</v>
      </c>
    </row>
    <row r="3" spans="1:19" x14ac:dyDescent="0.3">
      <c r="A3" t="s">
        <v>34</v>
      </c>
      <c r="B3">
        <v>0.4</v>
      </c>
      <c r="C3">
        <v>-2.2000000000000002</v>
      </c>
      <c r="D3">
        <v>-3.8</v>
      </c>
      <c r="E3" s="10">
        <f t="shared" ref="E3:E8" si="0">AVERAGE(B3:D3)</f>
        <v>-1.8666666666666665</v>
      </c>
      <c r="F3" s="10">
        <f>STDEV(B3:D3)</f>
        <v>2.1197484127446198</v>
      </c>
      <c r="M3" t="s">
        <v>8</v>
      </c>
      <c r="N3">
        <f>_xlfn.QUARTILE.INC(B3:D3,0)</f>
        <v>-3.8</v>
      </c>
      <c r="O3">
        <f>_xlfn.QUARTILE.INC(B4:D4,0)</f>
        <v>-2.6</v>
      </c>
      <c r="P3">
        <f>_xlfn.QUARTILE.INC(B5:D5,0)</f>
        <v>3.4</v>
      </c>
      <c r="Q3">
        <f>_xlfn.QUARTILE.INC(B6:D6,0)</f>
        <v>-1.4</v>
      </c>
      <c r="R3">
        <f>_xlfn.QUARTILE.INC(B7:D7,0)</f>
        <v>-4.5999999999999996</v>
      </c>
      <c r="S3">
        <f>_xlfn.QUARTILE.INC(B8:D8,0)</f>
        <v>9.4</v>
      </c>
    </row>
    <row r="4" spans="1:19" x14ac:dyDescent="0.3">
      <c r="A4" t="s">
        <v>17</v>
      </c>
      <c r="B4">
        <v>1.8</v>
      </c>
      <c r="C4">
        <v>2.4</v>
      </c>
      <c r="D4">
        <v>-2.6</v>
      </c>
      <c r="E4" s="10">
        <f t="shared" si="0"/>
        <v>0.53333333333333333</v>
      </c>
      <c r="F4" s="10">
        <f t="shared" ref="F4:F8" si="1">STDEV(B4:D4)</f>
        <v>2.7300793639257694</v>
      </c>
      <c r="G4" s="4">
        <f>_xlfn.T.TEST(B$3:D$3,B4:D4,2,1)</f>
        <v>0.16120141756840656</v>
      </c>
      <c r="H4" t="str">
        <f>IF(F4&lt;0.05,"*","NS")</f>
        <v>NS</v>
      </c>
      <c r="M4" t="s">
        <v>9</v>
      </c>
      <c r="N4">
        <f>_xlfn.QUARTILE.INC(B3:D3,1)</f>
        <v>-3</v>
      </c>
      <c r="O4">
        <f>_xlfn.QUARTILE.INC(B4:D4,1)</f>
        <v>-0.39999999999999991</v>
      </c>
      <c r="P4">
        <f>_xlfn.QUARTILE.INC(B5:D5,1)</f>
        <v>4</v>
      </c>
      <c r="Q4">
        <f>_xlfn.QUARTILE.INC(B6:D6,1)</f>
        <v>-0.5</v>
      </c>
      <c r="R4">
        <f>_xlfn.QUARTILE.INC(B7:D7,1)</f>
        <v>-2.4</v>
      </c>
      <c r="S4">
        <f>_xlfn.QUARTILE.INC(B8:D8,1)</f>
        <v>11.600000000000001</v>
      </c>
    </row>
    <row r="5" spans="1:19" x14ac:dyDescent="0.3">
      <c r="A5" t="s">
        <v>18</v>
      </c>
      <c r="B5">
        <v>4.5999999999999996</v>
      </c>
      <c r="C5">
        <v>3.4</v>
      </c>
      <c r="D5">
        <v>6.8</v>
      </c>
      <c r="E5" s="10">
        <f t="shared" si="0"/>
        <v>4.9333333333333336</v>
      </c>
      <c r="F5" s="10">
        <f t="shared" si="1"/>
        <v>1.7243356208503404</v>
      </c>
      <c r="G5" s="4">
        <f>_xlfn.T.TEST(B$3:D$3,B5:D5,2,1)</f>
        <v>7.2803897338176826E-2</v>
      </c>
      <c r="H5" t="str">
        <f t="shared" ref="H5:H7" si="2">IF(F5&lt;0.05,"*","NS")</f>
        <v>NS</v>
      </c>
      <c r="M5" t="s">
        <v>10</v>
      </c>
      <c r="N5">
        <f>_xlfn.QUARTILE.INC(B3:D3,2)</f>
        <v>-2.2000000000000002</v>
      </c>
      <c r="O5">
        <f>_xlfn.QUARTILE.INC(B4:D4,2)</f>
        <v>1.8</v>
      </c>
      <c r="P5">
        <f>_xlfn.QUARTILE.INC(B5:D5,2)</f>
        <v>4.5999999999999996</v>
      </c>
      <c r="Q5">
        <f>_xlfn.QUARTILE.INC(B6:D6,2)</f>
        <v>0.4</v>
      </c>
      <c r="R5">
        <f>_xlfn.QUARTILE.INC(B7:D7,2)</f>
        <v>-0.2</v>
      </c>
      <c r="S5">
        <f>_xlfn.QUARTILE.INC(B8:D8,2)</f>
        <v>13.8</v>
      </c>
    </row>
    <row r="6" spans="1:19" x14ac:dyDescent="0.3">
      <c r="A6" t="s">
        <v>19</v>
      </c>
      <c r="B6">
        <v>-1.4</v>
      </c>
      <c r="C6">
        <v>0.4</v>
      </c>
      <c r="D6">
        <v>2</v>
      </c>
      <c r="E6" s="10">
        <f t="shared" si="0"/>
        <v>0.33333333333333331</v>
      </c>
      <c r="F6" s="10">
        <f t="shared" si="1"/>
        <v>1.7009801096230763</v>
      </c>
      <c r="G6" s="4">
        <f>_xlfn.T.TEST(B$3:D$3,B6:D6,2,1)</f>
        <v>0.42317916720709137</v>
      </c>
      <c r="H6" t="str">
        <f t="shared" si="2"/>
        <v>NS</v>
      </c>
      <c r="M6" t="s">
        <v>11</v>
      </c>
      <c r="N6">
        <f>_xlfn.QUARTILE.INC(B3:D3,3)</f>
        <v>-0.90000000000000013</v>
      </c>
      <c r="O6">
        <f>_xlfn.QUARTILE.INC(B4:D4,3)</f>
        <v>2.1</v>
      </c>
      <c r="P6">
        <f>_xlfn.QUARTILE.INC(B5:D5,3)</f>
        <v>5.6999999999999993</v>
      </c>
      <c r="Q6">
        <f>_xlfn.QUARTILE.INC(B6:D6,3)</f>
        <v>1.2000000000000002</v>
      </c>
      <c r="R6">
        <f>_xlfn.QUARTILE.INC(B7:D7,3)</f>
        <v>7.1999999999999993</v>
      </c>
      <c r="S6">
        <f>_xlfn.QUARTILE.INC(B$8:D$8,3)</f>
        <v>17.399999999999999</v>
      </c>
    </row>
    <row r="7" spans="1:19" x14ac:dyDescent="0.3">
      <c r="A7" t="s">
        <v>20</v>
      </c>
      <c r="B7">
        <v>14.6</v>
      </c>
      <c r="C7">
        <v>-0.2</v>
      </c>
      <c r="D7">
        <v>-4.5999999999999996</v>
      </c>
      <c r="E7" s="10">
        <f t="shared" si="0"/>
        <v>3.2666666666666671</v>
      </c>
      <c r="F7" s="10">
        <f t="shared" si="1"/>
        <v>10.058495580022557</v>
      </c>
      <c r="G7" s="4">
        <f>_xlfn.T.TEST(B$3:D$3,B7:D7,2,1)</f>
        <v>0.38094172658315029</v>
      </c>
      <c r="H7" t="str">
        <f t="shared" si="2"/>
        <v>NS</v>
      </c>
      <c r="M7" t="s">
        <v>12</v>
      </c>
      <c r="N7">
        <f>_xlfn.QUARTILE.INC(B3:D3,4)</f>
        <v>0.4</v>
      </c>
      <c r="O7">
        <f>_xlfn.QUARTILE.INC(B4:D4,4)</f>
        <v>2.4</v>
      </c>
      <c r="P7">
        <f>_xlfn.QUARTILE.INC(B5:D5,4)</f>
        <v>6.8</v>
      </c>
      <c r="Q7">
        <f>_xlfn.QUARTILE.INC(B6:D6,4)</f>
        <v>2</v>
      </c>
      <c r="R7">
        <f>_xlfn.QUARTILE.INC(B7:D7,4)</f>
        <v>14.6</v>
      </c>
      <c r="S7">
        <f>_xlfn.QUARTILE.INC(B$8:D$8,4)</f>
        <v>21</v>
      </c>
    </row>
    <row r="8" spans="1:19" x14ac:dyDescent="0.3">
      <c r="A8" t="s">
        <v>21</v>
      </c>
      <c r="B8">
        <v>13.8</v>
      </c>
      <c r="C8">
        <v>21</v>
      </c>
      <c r="D8">
        <v>9.4</v>
      </c>
      <c r="E8" s="10">
        <f t="shared" si="0"/>
        <v>14.733333333333333</v>
      </c>
      <c r="F8" s="10">
        <f t="shared" si="1"/>
        <v>5.8560510015994058</v>
      </c>
      <c r="G8" s="4">
        <f>_xlfn.T.TEST(B$3:D$3,B8:D8,2,1)</f>
        <v>3.7331966324398363E-2</v>
      </c>
      <c r="H8" t="str">
        <f>IF(G8&lt;0.05,"*","NS")</f>
        <v>*</v>
      </c>
      <c r="M8" t="s">
        <v>13</v>
      </c>
      <c r="N8">
        <f t="shared" ref="N8:S8" si="3">N7-N3</f>
        <v>4.2</v>
      </c>
      <c r="O8">
        <f t="shared" si="3"/>
        <v>5</v>
      </c>
      <c r="P8">
        <f t="shared" si="3"/>
        <v>3.4</v>
      </c>
      <c r="Q8">
        <f t="shared" si="3"/>
        <v>3.4</v>
      </c>
      <c r="R8">
        <f t="shared" si="3"/>
        <v>19.2</v>
      </c>
      <c r="S8">
        <f t="shared" si="3"/>
        <v>11.6</v>
      </c>
    </row>
    <row r="9" spans="1:19" x14ac:dyDescent="0.3">
      <c r="M9" t="s">
        <v>14</v>
      </c>
      <c r="N9">
        <f t="shared" ref="N9:S9" si="4">N6-N4</f>
        <v>2.0999999999999996</v>
      </c>
      <c r="O9">
        <f t="shared" si="4"/>
        <v>2.5</v>
      </c>
      <c r="P9">
        <f t="shared" si="4"/>
        <v>1.6999999999999993</v>
      </c>
      <c r="Q9">
        <f t="shared" si="4"/>
        <v>1.7000000000000002</v>
      </c>
      <c r="R9">
        <f t="shared" si="4"/>
        <v>9.6</v>
      </c>
      <c r="S9">
        <f t="shared" si="4"/>
        <v>5.7999999999999972</v>
      </c>
    </row>
    <row r="10" spans="1:19" x14ac:dyDescent="0.3">
      <c r="M10" t="s">
        <v>15</v>
      </c>
      <c r="N10">
        <f t="shared" ref="N10:S10" si="5">N4-(N9*1.5)</f>
        <v>-6.1499999999999995</v>
      </c>
      <c r="O10">
        <f t="shared" si="5"/>
        <v>-4.1500000000000004</v>
      </c>
      <c r="P10">
        <f t="shared" si="5"/>
        <v>1.4500000000000011</v>
      </c>
      <c r="Q10">
        <f t="shared" si="5"/>
        <v>-3.0500000000000003</v>
      </c>
      <c r="R10">
        <f t="shared" si="5"/>
        <v>-16.799999999999997</v>
      </c>
      <c r="S10">
        <f t="shared" si="5"/>
        <v>2.9000000000000057</v>
      </c>
    </row>
    <row r="11" spans="1:19" x14ac:dyDescent="0.3">
      <c r="M11" t="s">
        <v>16</v>
      </c>
      <c r="N11">
        <f t="shared" ref="N11:S11" si="6">N6+(N9*1.5)</f>
        <v>2.2499999999999991</v>
      </c>
      <c r="O11">
        <f t="shared" si="6"/>
        <v>5.85</v>
      </c>
      <c r="P11">
        <f t="shared" si="6"/>
        <v>8.2499999999999982</v>
      </c>
      <c r="Q11">
        <f t="shared" si="6"/>
        <v>3.7500000000000004</v>
      </c>
      <c r="R11">
        <f t="shared" si="6"/>
        <v>21.599999999999998</v>
      </c>
      <c r="S11">
        <f t="shared" si="6"/>
        <v>26.099999999999994</v>
      </c>
    </row>
    <row r="13" spans="1:19" x14ac:dyDescent="0.3">
      <c r="A13" s="7" t="s">
        <v>1</v>
      </c>
      <c r="B13" s="13" t="s">
        <v>38</v>
      </c>
      <c r="C13" s="13"/>
      <c r="D13" s="13"/>
      <c r="E13" s="13"/>
      <c r="F13" s="13"/>
      <c r="G13" s="13"/>
    </row>
    <row r="14" spans="1:19" x14ac:dyDescent="0.3">
      <c r="A14" t="s">
        <v>35</v>
      </c>
      <c r="B14" s="1" t="s">
        <v>23</v>
      </c>
      <c r="C14" s="1" t="s">
        <v>24</v>
      </c>
      <c r="D14" s="1" t="s">
        <v>25</v>
      </c>
      <c r="E14" s="1" t="s">
        <v>26</v>
      </c>
      <c r="F14" s="1" t="s">
        <v>27</v>
      </c>
      <c r="G14" s="2" t="s">
        <v>5</v>
      </c>
      <c r="H14" s="2" t="s">
        <v>6</v>
      </c>
      <c r="I14" s="3" t="s">
        <v>7</v>
      </c>
      <c r="J14" s="2" t="s">
        <v>22</v>
      </c>
      <c r="M14" s="2" t="s">
        <v>37</v>
      </c>
      <c r="N14" s="5" t="s">
        <v>34</v>
      </c>
      <c r="O14" s="5" t="s">
        <v>17</v>
      </c>
      <c r="P14" s="5" t="s">
        <v>18</v>
      </c>
      <c r="Q14" s="5" t="s">
        <v>19</v>
      </c>
      <c r="R14" s="5" t="s">
        <v>20</v>
      </c>
      <c r="S14" s="5" t="s">
        <v>21</v>
      </c>
    </row>
    <row r="15" spans="1:19" x14ac:dyDescent="0.3">
      <c r="A15" t="s">
        <v>34</v>
      </c>
      <c r="B15">
        <v>-10</v>
      </c>
      <c r="C15">
        <f t="shared" ref="C15:C20" si="7">B15/5</f>
        <v>-2</v>
      </c>
      <c r="D15">
        <v>3</v>
      </c>
      <c r="E15">
        <v>2</v>
      </c>
      <c r="F15">
        <v>0.8</v>
      </c>
      <c r="G15" s="10">
        <f>AVERAGE(B15:F15)</f>
        <v>-1.24</v>
      </c>
      <c r="H15" s="10">
        <f>STDEV(B15:F15)</f>
        <v>5.2428999608995017</v>
      </c>
      <c r="M15" t="s">
        <v>8</v>
      </c>
      <c r="N15">
        <f>_xlfn.QUARTILE.INC(B$15:F$15,0)</f>
        <v>-10</v>
      </c>
      <c r="O15">
        <f>_xlfn.QUARTILE.INC(B$16:F$16,0)</f>
        <v>3.04</v>
      </c>
      <c r="P15">
        <f>_xlfn.QUARTILE.INC(B$17:F$17,0)</f>
        <v>-3.6</v>
      </c>
      <c r="Q15">
        <f>_xlfn.QUARTILE.INC(B$18:F$18,0)</f>
        <v>1.6</v>
      </c>
      <c r="R15">
        <f>_xlfn.QUARTILE.INC(B$19:F$19,0)</f>
        <v>4.16</v>
      </c>
      <c r="S15">
        <f>_xlfn.QUARTILE.INC(B$20:E$20,0)</f>
        <v>-1.2</v>
      </c>
    </row>
    <row r="16" spans="1:19" x14ac:dyDescent="0.3">
      <c r="A16" t="s">
        <v>17</v>
      </c>
      <c r="B16">
        <v>15.2</v>
      </c>
      <c r="C16">
        <f t="shared" si="7"/>
        <v>3.04</v>
      </c>
      <c r="D16">
        <v>32.6</v>
      </c>
      <c r="E16">
        <v>10.199999999999999</v>
      </c>
      <c r="F16">
        <v>12.4</v>
      </c>
      <c r="G16" s="10">
        <f>AVERAGE(B16:F16)</f>
        <v>14.688000000000002</v>
      </c>
      <c r="H16" s="10">
        <f>STDEV(B16:F16)</f>
        <v>10.979012706067877</v>
      </c>
      <c r="I16">
        <f>_xlfn.T.TEST(B$15:F$15,B16:F16,2,1)</f>
        <v>3.0327506123145529E-2</v>
      </c>
      <c r="J16" t="str">
        <f>IF(I16&lt;0.05,"*","NS")</f>
        <v>*</v>
      </c>
      <c r="M16" t="s">
        <v>9</v>
      </c>
      <c r="N16">
        <f>_xlfn.QUARTILE.INC(B$15:F$15,1)</f>
        <v>-2</v>
      </c>
      <c r="O16">
        <f>_xlfn.QUARTILE.INC(B$16:F$16,1)</f>
        <v>10.199999999999999</v>
      </c>
      <c r="P16">
        <f>_xlfn.QUARTILE.INC(B$17:F$17,1)</f>
        <v>-0.72</v>
      </c>
      <c r="Q16">
        <f>_xlfn.QUARTILE.INC(B$18:F$18,1)</f>
        <v>8</v>
      </c>
      <c r="R16">
        <f>_xlfn.QUARTILE.INC(B$19:F$19,1)</f>
        <v>14</v>
      </c>
      <c r="S16">
        <f>_xlfn.QUARTILE.INC(B$20:E$20,1)</f>
        <v>-1.05</v>
      </c>
    </row>
    <row r="17" spans="1:19" x14ac:dyDescent="0.3">
      <c r="A17" t="s">
        <v>18</v>
      </c>
      <c r="B17">
        <v>-3.6</v>
      </c>
      <c r="C17">
        <f t="shared" si="7"/>
        <v>-0.72</v>
      </c>
      <c r="D17">
        <v>11</v>
      </c>
      <c r="E17">
        <v>4.8</v>
      </c>
      <c r="F17">
        <v>10.199999999999999</v>
      </c>
      <c r="G17" s="10">
        <f>AVERAGE(B17:F17)</f>
        <v>4.3360000000000003</v>
      </c>
      <c r="H17" s="10">
        <f>STDEV(B17:F17)</f>
        <v>6.4721310246316861</v>
      </c>
      <c r="I17">
        <f>_xlfn.T.TEST(B$15:F$15,B17:F17,2,1)</f>
        <v>2.2271820298435725E-2</v>
      </c>
      <c r="J17" t="str">
        <f>IF(I17&lt;0.05,"*","NS")</f>
        <v>*</v>
      </c>
      <c r="M17" t="s">
        <v>10</v>
      </c>
      <c r="N17">
        <f>_xlfn.QUARTILE.INC(B$15:F$15,2)</f>
        <v>0.8</v>
      </c>
      <c r="O17">
        <f>_xlfn.QUARTILE.INC(B$16:F$16,2)</f>
        <v>12.4</v>
      </c>
      <c r="P17">
        <f>_xlfn.QUARTILE.INC(B$17:F$17,2)</f>
        <v>4.8</v>
      </c>
      <c r="Q17">
        <f>_xlfn.QUARTILE.INC(B$18:F$18,2)</f>
        <v>10.8</v>
      </c>
      <c r="R17">
        <f>_xlfn.QUARTILE.INC(B$19:F$19,2)</f>
        <v>14.6</v>
      </c>
      <c r="S17">
        <f>_xlfn.QUARTILE.INC(B$20:E$20,2)</f>
        <v>-0.9</v>
      </c>
    </row>
    <row r="18" spans="1:19" x14ac:dyDescent="0.3">
      <c r="A18" t="s">
        <v>19</v>
      </c>
      <c r="B18">
        <v>8</v>
      </c>
      <c r="C18">
        <f t="shared" si="7"/>
        <v>1.6</v>
      </c>
      <c r="D18">
        <v>10.8</v>
      </c>
      <c r="E18">
        <v>14</v>
      </c>
      <c r="F18">
        <v>19.8</v>
      </c>
      <c r="G18" s="10">
        <f>AVERAGE(B18:F18)</f>
        <v>10.84</v>
      </c>
      <c r="H18" s="10">
        <f>STDEV(B18:F18)</f>
        <v>6.7770199940681888</v>
      </c>
      <c r="I18">
        <f>_xlfn.T.TEST(B$15:F$15,B18:F18,2,1)</f>
        <v>1.4788452117186135E-2</v>
      </c>
      <c r="J18" t="str">
        <f>IF(I18&lt;0.05,"*","NS")</f>
        <v>*</v>
      </c>
      <c r="M18" t="s">
        <v>11</v>
      </c>
      <c r="N18">
        <f>_xlfn.QUARTILE.INC(B$15:F$15,3)</f>
        <v>2</v>
      </c>
      <c r="O18">
        <f>_xlfn.QUARTILE.INC(B$16:F$16,3)</f>
        <v>15.2</v>
      </c>
      <c r="P18">
        <f>_xlfn.QUARTILE.INC(B$17:F$17,3)</f>
        <v>10.199999999999999</v>
      </c>
      <c r="Q18">
        <f>_xlfn.QUARTILE.INC(B$18:F$18,3)</f>
        <v>14</v>
      </c>
      <c r="R18">
        <f>_xlfn.QUARTILE.INC(B$19:F$19,3)</f>
        <v>20.399999999999999</v>
      </c>
      <c r="S18">
        <f>_xlfn.QUARTILE.INC(B$20:E$20,3)</f>
        <v>-0.66</v>
      </c>
    </row>
    <row r="19" spans="1:19" x14ac:dyDescent="0.3">
      <c r="A19" t="s">
        <v>20</v>
      </c>
      <c r="B19">
        <v>20.8</v>
      </c>
      <c r="C19">
        <f t="shared" si="7"/>
        <v>4.16</v>
      </c>
      <c r="D19">
        <v>14.6</v>
      </c>
      <c r="E19">
        <v>14</v>
      </c>
      <c r="F19">
        <v>20.399999999999999</v>
      </c>
      <c r="G19" s="10">
        <f>AVERAGE(B19:F19)</f>
        <v>14.792000000000002</v>
      </c>
      <c r="H19" s="10">
        <f>STDEV(B19:F19)</f>
        <v>6.7314426388405035</v>
      </c>
      <c r="I19">
        <f>_xlfn.T.TEST(B$15:F$15,B19:F19,2,1)</f>
        <v>1.9825884712525797E-2</v>
      </c>
      <c r="J19" t="str">
        <f>IF(I19&lt;0.05,"*","NS")</f>
        <v>*</v>
      </c>
      <c r="M19" t="s">
        <v>12</v>
      </c>
      <c r="N19">
        <f>_xlfn.QUARTILE.INC(B$15:F$15,4)</f>
        <v>3</v>
      </c>
      <c r="O19">
        <f>_xlfn.QUARTILE.INC(B$16:F$16,4)</f>
        <v>32.6</v>
      </c>
      <c r="P19">
        <f>_xlfn.QUARTILE.INC(B$17:F$17,4)</f>
        <v>11</v>
      </c>
      <c r="Q19">
        <f>_xlfn.QUARTILE.INC(B$18:F$18,4)</f>
        <v>19.8</v>
      </c>
      <c r="R19">
        <f>_xlfn.QUARTILE.INC(B$19:F$19,4)</f>
        <v>20.8</v>
      </c>
      <c r="S19">
        <f>_xlfn.QUARTILE.INC(B$20:E$20,4)</f>
        <v>-0.24</v>
      </c>
    </row>
    <row r="20" spans="1:19" x14ac:dyDescent="0.3">
      <c r="A20" t="s">
        <v>21</v>
      </c>
      <c r="B20">
        <v>-1.2</v>
      </c>
      <c r="C20">
        <f t="shared" si="7"/>
        <v>-0.24</v>
      </c>
      <c r="D20">
        <v>-0.8</v>
      </c>
      <c r="E20">
        <v>-1</v>
      </c>
      <c r="F20" t="s">
        <v>3</v>
      </c>
      <c r="G20" s="10">
        <f>AVERAGE(B20:C20,D20:E20)</f>
        <v>-0.81</v>
      </c>
      <c r="H20" s="10">
        <f>STDEV(B20:C20,D20:E20)</f>
        <v>0.41360206317989573</v>
      </c>
      <c r="I20">
        <f>_xlfn.T.TEST(B$15:E$15,B20:E20,2,1)</f>
        <v>0.76659084492713836</v>
      </c>
      <c r="J20" t="str">
        <f>IF(I20&lt;0.05,"*","NS")</f>
        <v>NS</v>
      </c>
      <c r="M20" t="s">
        <v>13</v>
      </c>
      <c r="N20">
        <f t="shared" ref="N20:S20" si="8">N19-N15</f>
        <v>13</v>
      </c>
      <c r="O20">
        <f t="shared" si="8"/>
        <v>29.560000000000002</v>
      </c>
      <c r="P20">
        <f t="shared" si="8"/>
        <v>14.6</v>
      </c>
      <c r="Q20">
        <f t="shared" si="8"/>
        <v>18.2</v>
      </c>
      <c r="R20">
        <f t="shared" si="8"/>
        <v>16.64</v>
      </c>
      <c r="S20">
        <f t="shared" si="8"/>
        <v>0.96</v>
      </c>
    </row>
    <row r="21" spans="1:19" x14ac:dyDescent="0.3">
      <c r="M21" t="s">
        <v>14</v>
      </c>
      <c r="N21">
        <f t="shared" ref="N21:S21" si="9">N18-N16</f>
        <v>4</v>
      </c>
      <c r="O21">
        <f t="shared" si="9"/>
        <v>5</v>
      </c>
      <c r="P21">
        <f t="shared" si="9"/>
        <v>10.92</v>
      </c>
      <c r="Q21">
        <f t="shared" si="9"/>
        <v>6</v>
      </c>
      <c r="R21">
        <f t="shared" si="9"/>
        <v>6.3999999999999986</v>
      </c>
      <c r="S21">
        <f t="shared" si="9"/>
        <v>0.39</v>
      </c>
    </row>
    <row r="22" spans="1:19" x14ac:dyDescent="0.3">
      <c r="M22" t="s">
        <v>15</v>
      </c>
      <c r="N22">
        <f t="shared" ref="N22:S22" si="10">N16-(N21*1.5)</f>
        <v>-8</v>
      </c>
      <c r="O22">
        <f t="shared" si="10"/>
        <v>2.6999999999999993</v>
      </c>
      <c r="P22">
        <f t="shared" si="10"/>
        <v>-17.099999999999998</v>
      </c>
      <c r="Q22">
        <f t="shared" si="10"/>
        <v>-1</v>
      </c>
      <c r="R22">
        <f t="shared" si="10"/>
        <v>4.4000000000000021</v>
      </c>
      <c r="S22">
        <f t="shared" si="10"/>
        <v>-1.635</v>
      </c>
    </row>
    <row r="23" spans="1:19" x14ac:dyDescent="0.3">
      <c r="M23" t="s">
        <v>16</v>
      </c>
      <c r="N23">
        <f t="shared" ref="N23:S23" si="11">N18+(N21*1.5)</f>
        <v>8</v>
      </c>
      <c r="O23">
        <f t="shared" si="11"/>
        <v>22.7</v>
      </c>
      <c r="P23">
        <f t="shared" si="11"/>
        <v>26.58</v>
      </c>
      <c r="Q23">
        <f t="shared" si="11"/>
        <v>23</v>
      </c>
      <c r="R23">
        <f t="shared" si="11"/>
        <v>29.999999999999996</v>
      </c>
      <c r="S23">
        <f t="shared" si="11"/>
        <v>-7.5000000000000067E-2</v>
      </c>
    </row>
    <row r="25" spans="1:19" x14ac:dyDescent="0.3">
      <c r="A25" s="6" t="s">
        <v>2</v>
      </c>
      <c r="B25" s="13" t="s">
        <v>38</v>
      </c>
      <c r="C25" s="13"/>
      <c r="D25" s="13"/>
      <c r="E25" s="13"/>
      <c r="F25" s="13"/>
    </row>
    <row r="26" spans="1:19" x14ac:dyDescent="0.3">
      <c r="A26" t="s">
        <v>35</v>
      </c>
      <c r="B26" s="1" t="s">
        <v>23</v>
      </c>
      <c r="C26" s="1" t="s">
        <v>24</v>
      </c>
      <c r="D26" s="1" t="s">
        <v>25</v>
      </c>
      <c r="E26" s="1" t="s">
        <v>26</v>
      </c>
      <c r="F26" s="2" t="s">
        <v>5</v>
      </c>
      <c r="G26" s="2" t="s">
        <v>6</v>
      </c>
      <c r="H26" s="3" t="s">
        <v>7</v>
      </c>
      <c r="I26" s="2" t="s">
        <v>22</v>
      </c>
      <c r="M26" s="2" t="s">
        <v>37</v>
      </c>
      <c r="N26" s="5" t="s">
        <v>34</v>
      </c>
      <c r="O26" s="5" t="s">
        <v>17</v>
      </c>
      <c r="P26" s="5" t="s">
        <v>18</v>
      </c>
      <c r="Q26" s="5" t="s">
        <v>19</v>
      </c>
      <c r="R26" s="5" t="s">
        <v>20</v>
      </c>
      <c r="S26" s="5" t="s">
        <v>21</v>
      </c>
    </row>
    <row r="27" spans="1:19" x14ac:dyDescent="0.3">
      <c r="A27" t="s">
        <v>34</v>
      </c>
      <c r="B27">
        <v>1.2</v>
      </c>
      <c r="C27">
        <v>1.2</v>
      </c>
      <c r="D27">
        <v>1.8</v>
      </c>
      <c r="E27">
        <v>0</v>
      </c>
      <c r="F27" s="10">
        <f>AVERAGE(B27:E27)</f>
        <v>1.05</v>
      </c>
      <c r="G27" s="10">
        <f>STDEV(B27:E27)</f>
        <v>0.75498344352707492</v>
      </c>
      <c r="M27" t="s">
        <v>8</v>
      </c>
      <c r="N27">
        <f>_xlfn.QUARTILE.INC(B$27:E$27,0)</f>
        <v>0</v>
      </c>
      <c r="O27">
        <f>_xlfn.QUARTILE.INC(B$28:E$28,0)</f>
        <v>-4.5999999999999996</v>
      </c>
      <c r="P27">
        <f>_xlfn.QUARTILE.INC(C$29:E$29,0)</f>
        <v>3.4</v>
      </c>
      <c r="Q27">
        <f>_xlfn.QUARTILE.INC(B$30:E$30,0)</f>
        <v>-2.6</v>
      </c>
      <c r="R27">
        <f>_xlfn.QUARTILE.INC(B$31:E$31,0)</f>
        <v>-2.8</v>
      </c>
      <c r="S27">
        <f>_xlfn.QUARTILE.INC(B$32:E$32,0)</f>
        <v>6.8</v>
      </c>
    </row>
    <row r="28" spans="1:19" x14ac:dyDescent="0.3">
      <c r="A28" t="s">
        <v>17</v>
      </c>
      <c r="B28">
        <v>-3.6</v>
      </c>
      <c r="C28">
        <v>-4.5999999999999996</v>
      </c>
      <c r="D28">
        <v>2.6</v>
      </c>
      <c r="E28">
        <v>-1.4</v>
      </c>
      <c r="F28" s="10">
        <f>AVERAGE(B28:E28)</f>
        <v>-1.75</v>
      </c>
      <c r="G28" s="10">
        <f>STDEV(B28:E28)</f>
        <v>3.193221988316294</v>
      </c>
      <c r="H28">
        <f>_xlfn.T.TEST(B$27:E$27,B28:E28,2,1)</f>
        <v>0.1637447047142058</v>
      </c>
      <c r="I28" t="str">
        <f>IF(H28&lt;0.05,"*","NS")</f>
        <v>NS</v>
      </c>
      <c r="M28" t="s">
        <v>9</v>
      </c>
      <c r="N28">
        <f>_xlfn.QUARTILE.INC(B$27:E$27,1)</f>
        <v>0.89999999999999991</v>
      </c>
      <c r="O28">
        <f>_xlfn.QUARTILE.INC(B$28:E$28,1)</f>
        <v>-3.85</v>
      </c>
      <c r="P28">
        <f>_xlfn.QUARTILE.INC(C$29:E$29,1)</f>
        <v>3.5999999999999996</v>
      </c>
      <c r="Q28">
        <f>_xlfn.QUARTILE.INC(B$30:E$30,1)</f>
        <v>-0.95</v>
      </c>
      <c r="R28">
        <f>_xlfn.QUARTILE.INC(B$31:E$31,1)</f>
        <v>-0.70000000000000018</v>
      </c>
      <c r="S28">
        <f>_xlfn.QUARTILE.INC(B$32:E$32,1)</f>
        <v>11.899999999999999</v>
      </c>
    </row>
    <row r="29" spans="1:19" x14ac:dyDescent="0.3">
      <c r="A29" t="s">
        <v>18</v>
      </c>
      <c r="B29" t="s">
        <v>3</v>
      </c>
      <c r="C29">
        <v>11.4</v>
      </c>
      <c r="D29">
        <v>3.8</v>
      </c>
      <c r="E29">
        <v>3.4</v>
      </c>
      <c r="F29" s="10">
        <f>AVERAGE(C29:E29)</f>
        <v>6.1999999999999993</v>
      </c>
      <c r="G29" s="10">
        <f>STDEV(C29:E29)</f>
        <v>4.5077710678338594</v>
      </c>
      <c r="H29">
        <f>_xlfn.T.TEST(C$27:E$27,C29:E29,2,1)</f>
        <v>0.17643405269206447</v>
      </c>
      <c r="I29" t="str">
        <f>IF(H29&lt;0.05,"*","NS")</f>
        <v>NS</v>
      </c>
      <c r="M29" t="s">
        <v>10</v>
      </c>
      <c r="N29">
        <f>_xlfn.QUARTILE.INC(B$27:E$27,2)</f>
        <v>1.2</v>
      </c>
      <c r="O29">
        <f>_xlfn.QUARTILE.INC(B$28:E$28,2)</f>
        <v>-2.5</v>
      </c>
      <c r="P29">
        <f>_xlfn.QUARTILE.INC(C$29:E$29,2)</f>
        <v>3.8</v>
      </c>
      <c r="Q29">
        <f>_xlfn.QUARTILE.INC(B$30:E$30,2)</f>
        <v>-0.30000000000000004</v>
      </c>
      <c r="R29">
        <f>_xlfn.QUARTILE.INC(B$31:E$31,2)</f>
        <v>1.6</v>
      </c>
      <c r="S29">
        <f>_xlfn.QUARTILE.INC(B$32:E$32,2)</f>
        <v>15.2</v>
      </c>
    </row>
    <row r="30" spans="1:19" x14ac:dyDescent="0.3">
      <c r="A30" t="s">
        <v>19</v>
      </c>
      <c r="B30">
        <v>-0.2</v>
      </c>
      <c r="C30">
        <v>3.4</v>
      </c>
      <c r="D30">
        <v>-0.4</v>
      </c>
      <c r="E30">
        <v>-2.6</v>
      </c>
      <c r="F30" s="10">
        <f>AVERAGE(B30:E30)</f>
        <v>4.9999999999999933E-2</v>
      </c>
      <c r="G30" s="10">
        <f>STDEV(B30:E30)</f>
        <v>2.4839484696748437</v>
      </c>
      <c r="H30">
        <f>_xlfn.T.TEST(B$27:E$27,B30:E30,2,1)</f>
        <v>0.42862052146938079</v>
      </c>
      <c r="I30" t="str">
        <f>IF(H30&lt;0.05,"*","NS")</f>
        <v>NS</v>
      </c>
      <c r="M30" t="s">
        <v>11</v>
      </c>
      <c r="N30">
        <f>_xlfn.QUARTILE.INC(B$27:E$27,3)</f>
        <v>1.35</v>
      </c>
      <c r="O30">
        <f>_xlfn.QUARTILE.INC(B$28:E$28,3)</f>
        <v>-0.39999999999999991</v>
      </c>
      <c r="P30">
        <f>_xlfn.QUARTILE.INC(C$29:E$29,3)</f>
        <v>7.6</v>
      </c>
      <c r="Q30">
        <f>_xlfn.QUARTILE.INC(B$30:E$30,3)</f>
        <v>0.7</v>
      </c>
      <c r="R30">
        <f>_xlfn.QUARTILE.INC(B$31:E$31,3)</f>
        <v>3.75</v>
      </c>
      <c r="S30">
        <f>_xlfn.QUARTILE.INC(B$32:E$32,3)</f>
        <v>18</v>
      </c>
    </row>
    <row r="31" spans="1:19" x14ac:dyDescent="0.3">
      <c r="A31" t="s">
        <v>20</v>
      </c>
      <c r="B31">
        <v>0</v>
      </c>
      <c r="C31">
        <v>5.4</v>
      </c>
      <c r="D31">
        <v>3.2</v>
      </c>
      <c r="E31">
        <v>-2.8</v>
      </c>
      <c r="F31" s="10">
        <f>AVERAGE(B31:E31)</f>
        <v>1.4500000000000004</v>
      </c>
      <c r="G31" s="10">
        <f>STDEV(B31:E31)</f>
        <v>3.5976844404885391</v>
      </c>
      <c r="H31">
        <f>_xlfn.T.TEST(B$27:E$27,B31:E31,2,1)</f>
        <v>0.81116212501523166</v>
      </c>
      <c r="I31" t="str">
        <f>IF(H31&lt;0.05,"*","NS")</f>
        <v>NS</v>
      </c>
      <c r="M31" t="s">
        <v>12</v>
      </c>
      <c r="N31">
        <f>_xlfn.QUARTILE.INC(B$27:E$27,4)</f>
        <v>1.8</v>
      </c>
      <c r="O31">
        <f>_xlfn.QUARTILE.INC(B$28:E$28,4)</f>
        <v>2.6</v>
      </c>
      <c r="P31">
        <f>_xlfn.QUARTILE.INC(C$29:E$29,4)</f>
        <v>11.4</v>
      </c>
      <c r="Q31">
        <f>_xlfn.QUARTILE.INC(B$30:E$30,4)</f>
        <v>3.4</v>
      </c>
      <c r="R31">
        <f>_xlfn.QUARTILE.INC(B$31:E$31,4)</f>
        <v>5.4</v>
      </c>
      <c r="S31">
        <f>_xlfn.QUARTILE.INC(B$32:E$32,4)</f>
        <v>21.6</v>
      </c>
    </row>
    <row r="32" spans="1:19" x14ac:dyDescent="0.3">
      <c r="A32" t="s">
        <v>21</v>
      </c>
      <c r="B32">
        <v>13.6</v>
      </c>
      <c r="C32">
        <v>16.8</v>
      </c>
      <c r="D32">
        <v>21.6</v>
      </c>
      <c r="E32">
        <v>6.8</v>
      </c>
      <c r="F32" s="10">
        <f>AVERAGE(B32:E32)</f>
        <v>14.7</v>
      </c>
      <c r="G32" s="10">
        <f>STDEV(B32:E32)</f>
        <v>6.2085961913033696</v>
      </c>
      <c r="H32">
        <f>_xlfn.T.TEST(B$27:E$27,B32:E32,2,1)</f>
        <v>1.5551882138223089E-2</v>
      </c>
      <c r="I32" t="str">
        <f>IF(H32&lt;0.05,"*","NS")</f>
        <v>*</v>
      </c>
      <c r="M32" t="s">
        <v>13</v>
      </c>
      <c r="N32">
        <f t="shared" ref="N32:S32" si="12">N31-N27</f>
        <v>1.8</v>
      </c>
      <c r="O32">
        <f t="shared" si="12"/>
        <v>7.1999999999999993</v>
      </c>
      <c r="P32">
        <f t="shared" si="12"/>
        <v>8</v>
      </c>
      <c r="Q32">
        <f t="shared" si="12"/>
        <v>6</v>
      </c>
      <c r="R32">
        <f t="shared" si="12"/>
        <v>8.1999999999999993</v>
      </c>
      <c r="S32">
        <f t="shared" si="12"/>
        <v>14.8</v>
      </c>
    </row>
    <row r="33" spans="13:19" x14ac:dyDescent="0.3">
      <c r="M33" t="s">
        <v>14</v>
      </c>
      <c r="N33">
        <f t="shared" ref="N33:S33" si="13">N30-N28</f>
        <v>0.45000000000000018</v>
      </c>
      <c r="O33">
        <f t="shared" si="13"/>
        <v>3.45</v>
      </c>
      <c r="P33">
        <f t="shared" si="13"/>
        <v>4</v>
      </c>
      <c r="Q33">
        <f t="shared" si="13"/>
        <v>1.65</v>
      </c>
      <c r="R33">
        <f t="shared" si="13"/>
        <v>4.45</v>
      </c>
      <c r="S33">
        <f t="shared" si="13"/>
        <v>6.1000000000000014</v>
      </c>
    </row>
    <row r="34" spans="13:19" x14ac:dyDescent="0.3">
      <c r="M34" t="s">
        <v>15</v>
      </c>
      <c r="N34">
        <f t="shared" ref="N34:S34" si="14">N28-(N33*1.5)</f>
        <v>0.22499999999999964</v>
      </c>
      <c r="O34">
        <f t="shared" si="14"/>
        <v>-9.0250000000000004</v>
      </c>
      <c r="P34">
        <f t="shared" si="14"/>
        <v>-2.4000000000000004</v>
      </c>
      <c r="Q34">
        <f t="shared" si="14"/>
        <v>-3.4249999999999998</v>
      </c>
      <c r="R34">
        <f t="shared" si="14"/>
        <v>-7.3750000000000009</v>
      </c>
      <c r="S34">
        <f t="shared" si="14"/>
        <v>2.7499999999999964</v>
      </c>
    </row>
    <row r="35" spans="13:19" x14ac:dyDescent="0.3">
      <c r="M35" t="s">
        <v>16</v>
      </c>
      <c r="N35">
        <f t="shared" ref="N35:S35" si="15">N30+(N33*1.5)</f>
        <v>2.0250000000000004</v>
      </c>
      <c r="O35">
        <f t="shared" si="15"/>
        <v>4.7750000000000004</v>
      </c>
      <c r="P35">
        <f t="shared" si="15"/>
        <v>13.6</v>
      </c>
      <c r="Q35">
        <f t="shared" si="15"/>
        <v>3.1749999999999998</v>
      </c>
      <c r="R35">
        <f t="shared" si="15"/>
        <v>10.425000000000001</v>
      </c>
      <c r="S35">
        <f t="shared" si="15"/>
        <v>27.150000000000002</v>
      </c>
    </row>
  </sheetData>
  <mergeCells count="3">
    <mergeCell ref="B1:E1"/>
    <mergeCell ref="B13:G13"/>
    <mergeCell ref="B25:F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Synthetic ligands</vt:lpstr>
      <vt:lpstr>H. uvarum headspaces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Maria Cattaneo</dc:creator>
  <cp:lastModifiedBy>Alberto Maria Cattaneo</cp:lastModifiedBy>
  <cp:lastPrinted>2021-08-20T10:39:02Z</cp:lastPrinted>
  <dcterms:created xsi:type="dcterms:W3CDTF">2021-07-23T18:00:33Z</dcterms:created>
  <dcterms:modified xsi:type="dcterms:W3CDTF">2022-07-07T15:50:08Z</dcterms:modified>
</cp:coreProperties>
</file>