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uk.sharepoint.com/sites/TIBO/Sdilene dokumenty/TIBO_team/Projekt_dimorfizmus/Review_AAR/"/>
    </mc:Choice>
  </mc:AlternateContent>
  <xr:revisionPtr revIDLastSave="143" documentId="8_{AFDF17DA-2D2E-4130-88F6-F78E21E9AE39}" xr6:coauthVersionLast="47" xr6:coauthVersionMax="47" xr10:uidLastSave="{F9F8E3EF-FAE4-4267-8757-6C48ED424935}"/>
  <bookViews>
    <workbookView minimized="1" xWindow="0" yWindow="3615" windowWidth="28800" windowHeight="11985" xr2:uid="{E8FAC543-0542-427D-8EC7-75C732E53331}"/>
  </bookViews>
  <sheets>
    <sheet name="Calculator" sheetId="1" r:id="rId1"/>
    <sheet name="Mesurement definition" sheetId="2" r:id="rId2"/>
    <sheet name="Case Male" sheetId="3" r:id="rId3"/>
    <sheet name="Case Fema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4" l="1"/>
  <c r="I31" i="4" s="1" a="1"/>
  <c r="I31" i="4" s="1"/>
  <c r="F30" i="4"/>
  <c r="I30" i="4" s="1" a="1"/>
  <c r="I30" i="4" s="1"/>
  <c r="T29" i="4"/>
  <c r="U29" i="4" s="1"/>
  <c r="F29" i="4"/>
  <c r="G29" i="4" s="1"/>
  <c r="T28" i="4"/>
  <c r="U28" i="4" s="1"/>
  <c r="F28" i="4"/>
  <c r="G28" i="4" s="1"/>
  <c r="T27" i="4"/>
  <c r="U27" i="4" s="1"/>
  <c r="F27" i="4"/>
  <c r="T26" i="4"/>
  <c r="W26" i="4" s="1" a="1"/>
  <c r="W26" i="4" s="1"/>
  <c r="M26" i="4"/>
  <c r="P26" i="4" s="1" a="1"/>
  <c r="P26" i="4" s="1"/>
  <c r="F26" i="4"/>
  <c r="G26" i="4" s="1"/>
  <c r="T25" i="4"/>
  <c r="U25" i="4" s="1"/>
  <c r="M25" i="4"/>
  <c r="P25" i="4" s="1" a="1"/>
  <c r="P25" i="4" s="1"/>
  <c r="F25" i="4"/>
  <c r="G25" i="4" s="1"/>
  <c r="T24" i="4"/>
  <c r="U24" i="4" s="1"/>
  <c r="M24" i="4"/>
  <c r="F24" i="4"/>
  <c r="I24" i="4" s="1" a="1"/>
  <c r="I24" i="4" s="1"/>
  <c r="T23" i="4"/>
  <c r="W23" i="4" s="1" a="1"/>
  <c r="W23" i="4" s="1"/>
  <c r="M23" i="4"/>
  <c r="N23" i="4" s="1"/>
  <c r="F23" i="4"/>
  <c r="H23" i="4" s="1" a="1"/>
  <c r="H23" i="4" s="1"/>
  <c r="T22" i="4"/>
  <c r="U22" i="4" s="1"/>
  <c r="M22" i="4"/>
  <c r="N22" i="4" s="1"/>
  <c r="F22" i="4"/>
  <c r="I22" i="4" s="1" a="1"/>
  <c r="I22" i="4" s="1"/>
  <c r="T21" i="4"/>
  <c r="M21" i="4"/>
  <c r="P21" i="4" s="1" a="1"/>
  <c r="P21" i="4" s="1"/>
  <c r="F21" i="4"/>
  <c r="I21" i="4" s="1" a="1"/>
  <c r="I21" i="4" s="1"/>
  <c r="T20" i="4"/>
  <c r="U20" i="4" s="1"/>
  <c r="M20" i="4"/>
  <c r="N20" i="4" s="1"/>
  <c r="F20" i="4"/>
  <c r="G20" i="4" s="1"/>
  <c r="T19" i="4"/>
  <c r="U19" i="4" s="1"/>
  <c r="M19" i="4"/>
  <c r="P19" i="4" s="1" a="1"/>
  <c r="P19" i="4" s="1"/>
  <c r="F19" i="4"/>
  <c r="T18" i="4"/>
  <c r="W18" i="4" s="1" a="1"/>
  <c r="W18" i="4" s="1"/>
  <c r="M18" i="4"/>
  <c r="P18" i="4" s="1" a="1"/>
  <c r="P18" i="4" s="1"/>
  <c r="F18" i="4"/>
  <c r="G18" i="4" s="1"/>
  <c r="F17" i="4"/>
  <c r="H17" i="4" s="1" a="1"/>
  <c r="H17" i="4" s="1"/>
  <c r="F16" i="4"/>
  <c r="G16" i="4" s="1"/>
  <c r="F15" i="4"/>
  <c r="G15" i="4" s="1"/>
  <c r="T14" i="4"/>
  <c r="W14" i="4" s="1" a="1"/>
  <c r="W14" i="4" s="1"/>
  <c r="M14" i="4"/>
  <c r="F14" i="4"/>
  <c r="I14" i="4" s="1" a="1"/>
  <c r="I14" i="4" s="1"/>
  <c r="T13" i="4"/>
  <c r="W13" i="4" s="1" a="1"/>
  <c r="W13" i="4" s="1"/>
  <c r="M13" i="4"/>
  <c r="N13" i="4" s="1"/>
  <c r="F13" i="4"/>
  <c r="H13" i="4" s="1" a="1"/>
  <c r="H13" i="4" s="1"/>
  <c r="T12" i="4"/>
  <c r="U12" i="4" s="1"/>
  <c r="M12" i="4"/>
  <c r="N12" i="4" s="1"/>
  <c r="F12" i="4"/>
  <c r="H12" i="4" s="1" a="1"/>
  <c r="H12" i="4" s="1"/>
  <c r="T11" i="4"/>
  <c r="M11" i="4"/>
  <c r="P11" i="4" s="1" a="1"/>
  <c r="P11" i="4" s="1"/>
  <c r="F11" i="4"/>
  <c r="I11" i="4" s="1" a="1"/>
  <c r="I11" i="4" s="1"/>
  <c r="T10" i="4"/>
  <c r="U10" i="4" s="1"/>
  <c r="M10" i="4"/>
  <c r="O10" i="4" s="1" a="1"/>
  <c r="O10" i="4" s="1"/>
  <c r="F10" i="4"/>
  <c r="G10" i="4" s="1"/>
  <c r="T9" i="4"/>
  <c r="U9" i="4" s="1"/>
  <c r="M9" i="4"/>
  <c r="N9" i="4" s="1"/>
  <c r="F9" i="4"/>
  <c r="G9" i="4" s="1"/>
  <c r="T8" i="4"/>
  <c r="W8" i="4" s="1" a="1"/>
  <c r="W8" i="4" s="1"/>
  <c r="M8" i="4"/>
  <c r="P8" i="4" s="1" a="1"/>
  <c r="P8" i="4" s="1"/>
  <c r="F8" i="4"/>
  <c r="G8" i="4" s="1"/>
  <c r="T7" i="4"/>
  <c r="V7" i="4" s="1" a="1"/>
  <c r="V7" i="4" s="1"/>
  <c r="M7" i="4"/>
  <c r="N7" i="4" s="1"/>
  <c r="F7" i="4"/>
  <c r="G7" i="4" s="1"/>
  <c r="T6" i="4"/>
  <c r="W6" i="4" s="1" a="1"/>
  <c r="W6" i="4" s="1"/>
  <c r="M6" i="4"/>
  <c r="F6" i="4"/>
  <c r="I6" i="4" s="1" a="1"/>
  <c r="I6" i="4" s="1"/>
  <c r="F31" i="3"/>
  <c r="I31" i="3" s="1" a="1"/>
  <c r="I31" i="3" s="1"/>
  <c r="F30" i="3"/>
  <c r="I30" i="3" s="1" a="1"/>
  <c r="I30" i="3" s="1"/>
  <c r="T29" i="3"/>
  <c r="F29" i="3"/>
  <c r="H29" i="3" s="1" a="1"/>
  <c r="H29" i="3" s="1"/>
  <c r="T28" i="3"/>
  <c r="U28" i="3" s="1"/>
  <c r="F28" i="3"/>
  <c r="G28" i="3" s="1"/>
  <c r="T27" i="3"/>
  <c r="V27" i="3" s="1" a="1"/>
  <c r="V27" i="3" s="1"/>
  <c r="F27" i="3"/>
  <c r="I27" i="3" s="1" a="1"/>
  <c r="I27" i="3" s="1"/>
  <c r="T26" i="3"/>
  <c r="U26" i="3" s="1"/>
  <c r="M26" i="3"/>
  <c r="P26" i="3" s="1" a="1"/>
  <c r="P26" i="3" s="1"/>
  <c r="F26" i="3"/>
  <c r="I26" i="3" s="1" a="1"/>
  <c r="I26" i="3" s="1"/>
  <c r="T25" i="3"/>
  <c r="W25" i="3" s="1" a="1"/>
  <c r="W25" i="3" s="1"/>
  <c r="M25" i="3"/>
  <c r="F25" i="3"/>
  <c r="H25" i="3" s="1" a="1"/>
  <c r="H25" i="3" s="1"/>
  <c r="T24" i="3"/>
  <c r="V24" i="3" s="1" a="1"/>
  <c r="V24" i="3" s="1"/>
  <c r="M24" i="3"/>
  <c r="P24" i="3" s="1" a="1"/>
  <c r="P24" i="3" s="1"/>
  <c r="F24" i="3"/>
  <c r="G24" i="3" s="1"/>
  <c r="T23" i="3"/>
  <c r="W23" i="3" s="1" a="1"/>
  <c r="W23" i="3" s="1"/>
  <c r="M23" i="3"/>
  <c r="P23" i="3" s="1" a="1"/>
  <c r="P23" i="3" s="1"/>
  <c r="H23" i="3" a="1"/>
  <c r="H23" i="3" s="1"/>
  <c r="F23" i="3"/>
  <c r="I23" i="3" s="1" a="1"/>
  <c r="I23" i="3" s="1"/>
  <c r="T22" i="3"/>
  <c r="M22" i="3"/>
  <c r="O22" i="3" s="1" a="1"/>
  <c r="O22" i="3" s="1"/>
  <c r="F22" i="3"/>
  <c r="H22" i="3" s="1" a="1"/>
  <c r="H22" i="3" s="1"/>
  <c r="T21" i="3"/>
  <c r="W21" i="3" s="1" a="1"/>
  <c r="W21" i="3" s="1"/>
  <c r="M21" i="3"/>
  <c r="F21" i="3"/>
  <c r="I21" i="3" s="1" a="1"/>
  <c r="I21" i="3" s="1"/>
  <c r="T20" i="3"/>
  <c r="V20" i="3" s="1" a="1"/>
  <c r="V20" i="3" s="1"/>
  <c r="M20" i="3"/>
  <c r="O20" i="3" s="1" a="1"/>
  <c r="O20" i="3" s="1"/>
  <c r="F20" i="3"/>
  <c r="T19" i="3"/>
  <c r="W19" i="3" s="1" a="1"/>
  <c r="W19" i="3" s="1"/>
  <c r="M19" i="3"/>
  <c r="O19" i="3" s="1" a="1"/>
  <c r="O19" i="3" s="1"/>
  <c r="F19" i="3"/>
  <c r="I19" i="3" s="1" a="1"/>
  <c r="I19" i="3" s="1"/>
  <c r="T18" i="3"/>
  <c r="U18" i="3" s="1"/>
  <c r="M18" i="3"/>
  <c r="F18" i="3"/>
  <c r="I18" i="3" s="1" a="1"/>
  <c r="I18" i="3" s="1"/>
  <c r="F17" i="3"/>
  <c r="I17" i="3" s="1" a="1"/>
  <c r="I17" i="3" s="1"/>
  <c r="F16" i="3"/>
  <c r="I16" i="3" s="1" a="1"/>
  <c r="I16" i="3" s="1"/>
  <c r="F15" i="3"/>
  <c r="I15" i="3" s="1" a="1"/>
  <c r="I15" i="3" s="1"/>
  <c r="T14" i="3"/>
  <c r="V14" i="3" s="1" a="1"/>
  <c r="V14" i="3" s="1"/>
  <c r="M14" i="3"/>
  <c r="O14" i="3" s="1" a="1"/>
  <c r="O14" i="3" s="1"/>
  <c r="F14" i="3"/>
  <c r="G14" i="3" s="1"/>
  <c r="T13" i="3"/>
  <c r="M13" i="3"/>
  <c r="N13" i="3" s="1"/>
  <c r="F13" i="3"/>
  <c r="I13" i="3" s="1" a="1"/>
  <c r="I13" i="3" s="1"/>
  <c r="T12" i="3"/>
  <c r="W12" i="3" s="1" a="1"/>
  <c r="W12" i="3" s="1"/>
  <c r="M12" i="3"/>
  <c r="P12" i="3" s="1" a="1"/>
  <c r="P12" i="3" s="1"/>
  <c r="F12" i="3"/>
  <c r="H12" i="3" s="1" a="1"/>
  <c r="H12" i="3" s="1"/>
  <c r="T11" i="3"/>
  <c r="U11" i="3" s="1"/>
  <c r="M11" i="3"/>
  <c r="N11" i="3" s="1"/>
  <c r="F11" i="3"/>
  <c r="T10" i="3"/>
  <c r="W10" i="3" s="1" a="1"/>
  <c r="W10" i="3" s="1"/>
  <c r="M10" i="3"/>
  <c r="N10" i="3" s="1"/>
  <c r="F10" i="3"/>
  <c r="I10" i="3" s="1" a="1"/>
  <c r="I10" i="3" s="1"/>
  <c r="T9" i="3"/>
  <c r="W9" i="3" s="1" a="1"/>
  <c r="W9" i="3" s="1"/>
  <c r="M9" i="3"/>
  <c r="O9" i="3" s="1" a="1"/>
  <c r="O9" i="3" s="1"/>
  <c r="F9" i="3"/>
  <c r="I9" i="3" s="1" a="1"/>
  <c r="I9" i="3" s="1"/>
  <c r="T8" i="3"/>
  <c r="U8" i="3" s="1"/>
  <c r="M8" i="3"/>
  <c r="F8" i="3"/>
  <c r="G8" i="3" s="1"/>
  <c r="T7" i="3"/>
  <c r="V7" i="3" s="1" a="1"/>
  <c r="V7" i="3" s="1"/>
  <c r="M7" i="3"/>
  <c r="P7" i="3" s="1" a="1"/>
  <c r="P7" i="3" s="1"/>
  <c r="F7" i="3"/>
  <c r="T6" i="3"/>
  <c r="V6" i="3" s="1" a="1"/>
  <c r="V6" i="3" s="1"/>
  <c r="M6" i="3"/>
  <c r="O6" i="3" s="1" a="1"/>
  <c r="O6" i="3" s="1"/>
  <c r="F6" i="3"/>
  <c r="G6" i="3" s="1"/>
  <c r="O14" i="1" a="1"/>
  <c r="O14" i="1" s="1"/>
  <c r="M26" i="1"/>
  <c r="P26" i="1" s="1" a="1"/>
  <c r="P26" i="1" s="1"/>
  <c r="F20" i="1"/>
  <c r="G20" i="1" s="1"/>
  <c r="F6" i="1"/>
  <c r="H6" i="1" s="1" a="1"/>
  <c r="H6" i="1" s="1"/>
  <c r="F23" i="1"/>
  <c r="G23" i="1" s="1"/>
  <c r="T20" i="1"/>
  <c r="W20" i="1" s="1" a="1"/>
  <c r="W20" i="1" s="1"/>
  <c r="T19" i="1"/>
  <c r="W19" i="1" s="1" a="1"/>
  <c r="W19" i="1" s="1"/>
  <c r="T9" i="1"/>
  <c r="V9" i="1" s="1" a="1"/>
  <c r="V9" i="1" s="1"/>
  <c r="F10" i="1"/>
  <c r="G10" i="1" s="1"/>
  <c r="F31" i="1"/>
  <c r="G31" i="1" s="1"/>
  <c r="F30" i="1"/>
  <c r="G30" i="1" s="1"/>
  <c r="F29" i="1"/>
  <c r="G29" i="1" s="1"/>
  <c r="F28" i="1"/>
  <c r="I28" i="1" s="1" a="1"/>
  <c r="I28" i="1" s="1"/>
  <c r="F27" i="1"/>
  <c r="I27" i="1" s="1" a="1"/>
  <c r="I27" i="1" s="1"/>
  <c r="F26" i="1"/>
  <c r="G26" i="1" s="1"/>
  <c r="F25" i="1"/>
  <c r="G25" i="1" s="1"/>
  <c r="F24" i="1"/>
  <c r="G24" i="1" s="1"/>
  <c r="F22" i="1"/>
  <c r="G22" i="1" s="1"/>
  <c r="F21" i="1"/>
  <c r="G21" i="1" s="1"/>
  <c r="F19" i="1"/>
  <c r="I19" i="1" s="1" a="1"/>
  <c r="I19" i="1" s="1"/>
  <c r="F18" i="1"/>
  <c r="H18" i="1" s="1" a="1"/>
  <c r="H18" i="1" s="1"/>
  <c r="F17" i="1"/>
  <c r="H17" i="1" s="1" a="1"/>
  <c r="H17" i="1" s="1"/>
  <c r="F16" i="1"/>
  <c r="I16" i="1" s="1" a="1"/>
  <c r="I16" i="1" s="1"/>
  <c r="F15" i="1"/>
  <c r="G15" i="1" s="1"/>
  <c r="F14" i="1"/>
  <c r="G14" i="1" s="1"/>
  <c r="F13" i="1"/>
  <c r="G13" i="1" s="1"/>
  <c r="F12" i="1"/>
  <c r="I12" i="1" s="1" a="1"/>
  <c r="I12" i="1" s="1"/>
  <c r="F11" i="1"/>
  <c r="I11" i="1" s="1" a="1"/>
  <c r="I11" i="1" s="1"/>
  <c r="F9" i="1"/>
  <c r="H9" i="1" s="1" a="1"/>
  <c r="H9" i="1" s="1"/>
  <c r="F8" i="1"/>
  <c r="G8" i="1" s="1"/>
  <c r="F7" i="1"/>
  <c r="G7" i="1" s="1"/>
  <c r="M12" i="1"/>
  <c r="O12" i="1" s="1" a="1"/>
  <c r="O12" i="1" s="1"/>
  <c r="M18" i="1"/>
  <c r="N18" i="1" s="1"/>
  <c r="T18" i="1"/>
  <c r="W18" i="1" s="1" a="1"/>
  <c r="W18" i="1" s="1"/>
  <c r="T29" i="1"/>
  <c r="W29" i="1" s="1" a="1"/>
  <c r="W29" i="1" s="1"/>
  <c r="T28" i="1"/>
  <c r="W28" i="1" s="1" a="1"/>
  <c r="W28" i="1" s="1"/>
  <c r="T27" i="1"/>
  <c r="W27" i="1" s="1" a="1"/>
  <c r="W27" i="1" s="1"/>
  <c r="T25" i="1"/>
  <c r="W25" i="1" s="1" a="1"/>
  <c r="W25" i="1" s="1"/>
  <c r="T23" i="1"/>
  <c r="V23" i="1" s="1" a="1"/>
  <c r="V23" i="1" s="1"/>
  <c r="T26" i="1"/>
  <c r="W26" i="1" s="1" a="1"/>
  <c r="W26" i="1" s="1"/>
  <c r="T24" i="1"/>
  <c r="W24" i="1" s="1" a="1"/>
  <c r="W24" i="1" s="1"/>
  <c r="T22" i="1"/>
  <c r="V22" i="1" s="1" a="1"/>
  <c r="V22" i="1" s="1"/>
  <c r="T21" i="1"/>
  <c r="W21" i="1" s="1" a="1"/>
  <c r="W21" i="1" s="1"/>
  <c r="T14" i="1"/>
  <c r="U14" i="1" s="1"/>
  <c r="T13" i="1"/>
  <c r="V13" i="1" s="1" a="1"/>
  <c r="V13" i="1" s="1"/>
  <c r="T12" i="1"/>
  <c r="U12" i="1" s="1"/>
  <c r="T11" i="1"/>
  <c r="V11" i="1" s="1" a="1"/>
  <c r="V11" i="1" s="1"/>
  <c r="T10" i="1"/>
  <c r="W10" i="1" s="1" a="1"/>
  <c r="W10" i="1" s="1"/>
  <c r="T8" i="1"/>
  <c r="U8" i="1" s="1"/>
  <c r="T7" i="1"/>
  <c r="U7" i="1" s="1"/>
  <c r="T6" i="1"/>
  <c r="U6" i="1" s="1"/>
  <c r="M6" i="1"/>
  <c r="O6" i="1" s="1" a="1"/>
  <c r="O6" i="1" s="1"/>
  <c r="M25" i="1"/>
  <c r="P25" i="1" s="1" a="1"/>
  <c r="P25" i="1" s="1"/>
  <c r="M24" i="1"/>
  <c r="O24" i="1" s="1" a="1"/>
  <c r="O24" i="1" s="1"/>
  <c r="M23" i="1"/>
  <c r="P23" i="1" s="1" a="1"/>
  <c r="P23" i="1" s="1"/>
  <c r="M22" i="1"/>
  <c r="P22" i="1" s="1" a="1"/>
  <c r="P22" i="1" s="1"/>
  <c r="M21" i="1"/>
  <c r="P21" i="1" s="1" a="1"/>
  <c r="P21" i="1" s="1"/>
  <c r="M20" i="1"/>
  <c r="O20" i="1" s="1" a="1"/>
  <c r="O20" i="1" s="1"/>
  <c r="M19" i="1"/>
  <c r="P19" i="1" s="1" a="1"/>
  <c r="P19" i="1" s="1"/>
  <c r="M14" i="1"/>
  <c r="M13" i="1"/>
  <c r="O13" i="1" s="1" a="1"/>
  <c r="O13" i="1" s="1"/>
  <c r="M11" i="1"/>
  <c r="O11" i="1" s="1" a="1"/>
  <c r="O11" i="1" s="1"/>
  <c r="M10" i="1"/>
  <c r="O10" i="1" s="1" a="1"/>
  <c r="O10" i="1" s="1"/>
  <c r="M9" i="1"/>
  <c r="O9" i="1" s="1" a="1"/>
  <c r="O9" i="1" s="1"/>
  <c r="M8" i="1"/>
  <c r="O8" i="1" s="1" a="1"/>
  <c r="O8" i="1" s="1"/>
  <c r="M7" i="1"/>
  <c r="O7" i="1" s="1" a="1"/>
  <c r="O7" i="1" s="1"/>
  <c r="V6" i="1" l="1" a="1"/>
  <c r="V6" i="1" s="1"/>
  <c r="V8" i="1" a="1"/>
  <c r="V8" i="1" s="1"/>
  <c r="V10" i="1" a="1"/>
  <c r="V10" i="1" s="1"/>
  <c r="I28" i="4" a="1"/>
  <c r="I28" i="4" s="1"/>
  <c r="O19" i="4" a="1"/>
  <c r="O19" i="4" s="1"/>
  <c r="H28" i="4" a="1"/>
  <c r="H28" i="4" s="1"/>
  <c r="N19" i="4"/>
  <c r="I26" i="4" a="1"/>
  <c r="I26" i="4" s="1"/>
  <c r="H26" i="4" a="1"/>
  <c r="H26" i="4" s="1"/>
  <c r="P23" i="4" a="1"/>
  <c r="P23" i="4" s="1"/>
  <c r="O22" i="4" a="1"/>
  <c r="O22" i="4" s="1"/>
  <c r="H25" i="4" a="1"/>
  <c r="H25" i="4" s="1"/>
  <c r="P22" i="4" a="1"/>
  <c r="P22" i="4" s="1"/>
  <c r="I25" i="4" a="1"/>
  <c r="I25" i="4" s="1"/>
  <c r="O23" i="4" a="1"/>
  <c r="O23" i="4" s="1"/>
  <c r="V29" i="4" a="1"/>
  <c r="V29" i="4" s="1"/>
  <c r="G22" i="4"/>
  <c r="H22" i="4" a="1"/>
  <c r="H22" i="4" s="1"/>
  <c r="W29" i="4" a="1"/>
  <c r="W29" i="4" s="1"/>
  <c r="O9" i="4" a="1"/>
  <c r="O9" i="4" s="1"/>
  <c r="P9" i="4" a="1"/>
  <c r="P9" i="4" s="1"/>
  <c r="H18" i="4" a="1"/>
  <c r="H18" i="4" s="1"/>
  <c r="I18" i="4" a="1"/>
  <c r="I18" i="4" s="1"/>
  <c r="V24" i="4" a="1"/>
  <c r="V24" i="4" s="1"/>
  <c r="W24" i="4" a="1"/>
  <c r="W24" i="4" s="1"/>
  <c r="O12" i="4" a="1"/>
  <c r="O12" i="4" s="1"/>
  <c r="P12" i="4" a="1"/>
  <c r="P12" i="4" s="1"/>
  <c r="P13" i="4" a="1"/>
  <c r="P13" i="4" s="1"/>
  <c r="O13" i="4" a="1"/>
  <c r="O13" i="4" s="1"/>
  <c r="H15" i="4" a="1"/>
  <c r="H15" i="4" s="1"/>
  <c r="I15" i="4" a="1"/>
  <c r="I15" i="4" s="1"/>
  <c r="G12" i="4"/>
  <c r="I12" i="4" a="1"/>
  <c r="I12" i="4" s="1"/>
  <c r="H8" i="4" a="1"/>
  <c r="H8" i="4" s="1"/>
  <c r="V27" i="4" a="1"/>
  <c r="V27" i="4" s="1"/>
  <c r="W27" i="4" a="1"/>
  <c r="W27" i="4" s="1"/>
  <c r="V10" i="4" a="1"/>
  <c r="V10" i="4" s="1"/>
  <c r="W10" i="4" a="1"/>
  <c r="W10" i="4" s="1"/>
  <c r="W19" i="4" a="1"/>
  <c r="W19" i="4" s="1"/>
  <c r="I8" i="4" a="1"/>
  <c r="I8" i="4" s="1"/>
  <c r="V19" i="4" a="1"/>
  <c r="V19" i="4" s="1"/>
  <c r="H7" i="4" a="1"/>
  <c r="H7" i="4" s="1"/>
  <c r="I7" i="4" a="1"/>
  <c r="I7" i="4" s="1"/>
  <c r="U14" i="4"/>
  <c r="V14" i="4" a="1"/>
  <c r="V14" i="4" s="1"/>
  <c r="V9" i="4" a="1"/>
  <c r="V9" i="4" s="1"/>
  <c r="W9" i="4" a="1"/>
  <c r="W9" i="4" s="1"/>
  <c r="U6" i="4"/>
  <c r="V6" i="4" a="1"/>
  <c r="V6" i="4" s="1"/>
  <c r="V20" i="4" a="1"/>
  <c r="V20" i="4" s="1"/>
  <c r="W20" i="4" a="1"/>
  <c r="W20" i="4" s="1"/>
  <c r="V14" i="1" a="1"/>
  <c r="V14" i="1" s="1"/>
  <c r="V18" i="1" a="1"/>
  <c r="V18" i="1" s="1"/>
  <c r="O19" i="1" a="1"/>
  <c r="O19" i="1" s="1"/>
  <c r="O21" i="1" a="1"/>
  <c r="O21" i="1" s="1"/>
  <c r="V29" i="1" a="1"/>
  <c r="V29" i="1" s="1"/>
  <c r="O26" i="1" a="1"/>
  <c r="O26" i="1" s="1"/>
  <c r="O22" i="1" a="1"/>
  <c r="O22" i="1" s="1"/>
  <c r="V7" i="1" a="1"/>
  <c r="V7" i="1" s="1"/>
  <c r="V26" i="1" a="1"/>
  <c r="V26" i="1" s="1"/>
  <c r="V25" i="1" a="1"/>
  <c r="V25" i="1" s="1"/>
  <c r="V27" i="1" a="1"/>
  <c r="V27" i="1" s="1"/>
  <c r="V28" i="1" a="1"/>
  <c r="V28" i="1" s="1"/>
  <c r="V12" i="1" a="1"/>
  <c r="V12" i="1" s="1"/>
  <c r="O18" i="1" a="1"/>
  <c r="O18" i="1" s="1"/>
  <c r="V19" i="1" a="1"/>
  <c r="V19" i="1" s="1"/>
  <c r="V20" i="1" a="1"/>
  <c r="V20" i="1" s="1"/>
  <c r="O23" i="1" a="1"/>
  <c r="O23" i="1" s="1"/>
  <c r="V21" i="1" a="1"/>
  <c r="V21" i="1" s="1"/>
  <c r="O25" i="1" a="1"/>
  <c r="O25" i="1" s="1"/>
  <c r="V24" i="1" a="1"/>
  <c r="V24" i="1" s="1"/>
  <c r="V18" i="3" a="1"/>
  <c r="V18" i="3" s="1"/>
  <c r="W18" i="3" a="1"/>
  <c r="W18" i="3" s="1"/>
  <c r="G30" i="3"/>
  <c r="I29" i="3" a="1"/>
  <c r="I29" i="3" s="1"/>
  <c r="G29" i="3"/>
  <c r="P19" i="3" a="1"/>
  <c r="P19" i="3" s="1"/>
  <c r="H28" i="3" a="1"/>
  <c r="H28" i="3" s="1"/>
  <c r="I28" i="3" a="1"/>
  <c r="I28" i="3" s="1"/>
  <c r="P20" i="3" a="1"/>
  <c r="P20" i="3" s="1"/>
  <c r="P22" i="3" a="1"/>
  <c r="P22" i="3" s="1"/>
  <c r="N20" i="3"/>
  <c r="I25" i="3" a="1"/>
  <c r="I25" i="3" s="1"/>
  <c r="G23" i="3"/>
  <c r="I22" i="3" a="1"/>
  <c r="I22" i="3" s="1"/>
  <c r="O10" i="3" a="1"/>
  <c r="O10" i="3" s="1"/>
  <c r="P10" i="3" a="1"/>
  <c r="P10" i="3" s="1"/>
  <c r="G17" i="3"/>
  <c r="H17" i="3" a="1"/>
  <c r="H17" i="3" s="1"/>
  <c r="W24" i="3" a="1"/>
  <c r="W24" i="3" s="1"/>
  <c r="P9" i="3" a="1"/>
  <c r="P9" i="3" s="1"/>
  <c r="G16" i="3"/>
  <c r="H16" i="3" a="1"/>
  <c r="H16" i="3" s="1"/>
  <c r="G13" i="3"/>
  <c r="H13" i="3" a="1"/>
  <c r="H13" i="3" s="1"/>
  <c r="I12" i="3" a="1"/>
  <c r="I12" i="3" s="1"/>
  <c r="V11" i="3" a="1"/>
  <c r="V11" i="3" s="1"/>
  <c r="W11" i="3" a="1"/>
  <c r="W11" i="3" s="1"/>
  <c r="U7" i="3"/>
  <c r="W7" i="3" a="1"/>
  <c r="W7" i="3" s="1"/>
  <c r="H8" i="3" a="1"/>
  <c r="H8" i="3" s="1"/>
  <c r="I8" i="3" a="1"/>
  <c r="I8" i="3" s="1"/>
  <c r="W27" i="3" a="1"/>
  <c r="W27" i="3" s="1"/>
  <c r="W14" i="3" a="1"/>
  <c r="W14" i="3" s="1"/>
  <c r="W6" i="3" a="1"/>
  <c r="W6" i="3" s="1"/>
  <c r="V25" i="3" a="1"/>
  <c r="V25" i="3" s="1"/>
  <c r="U25" i="3"/>
  <c r="U21" i="4"/>
  <c r="V21" i="4" a="1"/>
  <c r="V21" i="4" s="1"/>
  <c r="W21" i="4" a="1"/>
  <c r="W21" i="4" s="1"/>
  <c r="H19" i="4" a="1"/>
  <c r="H19" i="4" s="1"/>
  <c r="G19" i="4"/>
  <c r="I19" i="4" a="1"/>
  <c r="I19" i="4" s="1"/>
  <c r="O14" i="4" a="1"/>
  <c r="O14" i="4" s="1"/>
  <c r="P14" i="4" a="1"/>
  <c r="P14" i="4" s="1"/>
  <c r="N14" i="4"/>
  <c r="H9" i="4" a="1"/>
  <c r="H9" i="4" s="1"/>
  <c r="I9" i="4" a="1"/>
  <c r="I9" i="4" s="1"/>
  <c r="U11" i="4"/>
  <c r="V11" i="4" a="1"/>
  <c r="V11" i="4" s="1"/>
  <c r="W11" i="4" a="1"/>
  <c r="W11" i="4" s="1"/>
  <c r="O24" i="4" a="1"/>
  <c r="O24" i="4" s="1"/>
  <c r="N24" i="4"/>
  <c r="P24" i="4" a="1"/>
  <c r="P24" i="4" s="1"/>
  <c r="H27" i="4" a="1"/>
  <c r="H27" i="4" s="1"/>
  <c r="G27" i="4"/>
  <c r="I27" i="4" a="1"/>
  <c r="I27" i="4" s="1"/>
  <c r="P6" i="4" a="1"/>
  <c r="P6" i="4" s="1"/>
  <c r="N6" i="4"/>
  <c r="O6" i="4" a="1"/>
  <c r="O6" i="4" s="1"/>
  <c r="O7" i="4" a="1"/>
  <c r="O7" i="4" s="1"/>
  <c r="V22" i="4" a="1"/>
  <c r="V22" i="4" s="1"/>
  <c r="N8" i="4"/>
  <c r="G11" i="4"/>
  <c r="U13" i="4"/>
  <c r="N18" i="4"/>
  <c r="G21" i="4"/>
  <c r="U23" i="4"/>
  <c r="N26" i="4"/>
  <c r="G30" i="4"/>
  <c r="N25" i="4"/>
  <c r="H10" i="4" a="1"/>
  <c r="H10" i="4" s="1"/>
  <c r="V12" i="4" a="1"/>
  <c r="V12" i="4" s="1"/>
  <c r="H16" i="4" a="1"/>
  <c r="H16" i="4" s="1"/>
  <c r="H20" i="4" a="1"/>
  <c r="H20" i="4" s="1"/>
  <c r="O25" i="4" a="1"/>
  <c r="O25" i="4" s="1"/>
  <c r="V28" i="4" a="1"/>
  <c r="V28" i="4" s="1"/>
  <c r="P7" i="4" a="1"/>
  <c r="P7" i="4" s="1"/>
  <c r="O8" i="4" a="1"/>
  <c r="O8" i="4" s="1"/>
  <c r="I10" i="4" a="1"/>
  <c r="I10" i="4" s="1"/>
  <c r="H11" i="4" a="1"/>
  <c r="H11" i="4" s="1"/>
  <c r="W12" i="4" a="1"/>
  <c r="W12" i="4" s="1"/>
  <c r="V13" i="4" a="1"/>
  <c r="V13" i="4" s="1"/>
  <c r="I16" i="4" a="1"/>
  <c r="I16" i="4" s="1"/>
  <c r="O18" i="4" a="1"/>
  <c r="O18" i="4" s="1"/>
  <c r="I20" i="4" a="1"/>
  <c r="I20" i="4" s="1"/>
  <c r="H21" i="4" a="1"/>
  <c r="H21" i="4" s="1"/>
  <c r="W22" i="4" a="1"/>
  <c r="W22" i="4" s="1"/>
  <c r="V23" i="4" a="1"/>
  <c r="V23" i="4" s="1"/>
  <c r="O26" i="4" a="1"/>
  <c r="O26" i="4" s="1"/>
  <c r="W28" i="4" a="1"/>
  <c r="W28" i="4" s="1"/>
  <c r="H30" i="4" a="1"/>
  <c r="H30" i="4" s="1"/>
  <c r="V25" i="4" a="1"/>
  <c r="V25" i="4" s="1"/>
  <c r="H29" i="4" a="1"/>
  <c r="H29" i="4" s="1"/>
  <c r="G6" i="4"/>
  <c r="U8" i="4"/>
  <c r="N11" i="4"/>
  <c r="G14" i="4"/>
  <c r="U18" i="4"/>
  <c r="N21" i="4"/>
  <c r="G24" i="4"/>
  <c r="U26" i="4"/>
  <c r="G31" i="4"/>
  <c r="H6" i="4" a="1"/>
  <c r="H6" i="4" s="1"/>
  <c r="W7" i="4" a="1"/>
  <c r="W7" i="4" s="1"/>
  <c r="V8" i="4" a="1"/>
  <c r="V8" i="4" s="1"/>
  <c r="P10" i="4" a="1"/>
  <c r="P10" i="4" s="1"/>
  <c r="O11" i="4" a="1"/>
  <c r="O11" i="4" s="1"/>
  <c r="I13" i="4" a="1"/>
  <c r="I13" i="4" s="1"/>
  <c r="H14" i="4" a="1"/>
  <c r="H14" i="4" s="1"/>
  <c r="I17" i="4" a="1"/>
  <c r="I17" i="4" s="1"/>
  <c r="V18" i="4" a="1"/>
  <c r="V18" i="4" s="1"/>
  <c r="P20" i="4" a="1"/>
  <c r="P20" i="4" s="1"/>
  <c r="O21" i="4" a="1"/>
  <c r="O21" i="4" s="1"/>
  <c r="I23" i="4" a="1"/>
  <c r="I23" i="4" s="1"/>
  <c r="H24" i="4" a="1"/>
  <c r="H24" i="4" s="1"/>
  <c r="W25" i="4" a="1"/>
  <c r="W25" i="4" s="1"/>
  <c r="V26" i="4" a="1"/>
  <c r="V26" i="4" s="1"/>
  <c r="I29" i="4" a="1"/>
  <c r="I29" i="4" s="1"/>
  <c r="H31" i="4" a="1"/>
  <c r="H31" i="4" s="1"/>
  <c r="U7" i="4"/>
  <c r="G13" i="4"/>
  <c r="G17" i="4"/>
  <c r="G23" i="4"/>
  <c r="O20" i="4" a="1"/>
  <c r="O20" i="4" s="1"/>
  <c r="N10" i="4"/>
  <c r="G7" i="3"/>
  <c r="I7" i="3" a="1"/>
  <c r="I7" i="3" s="1"/>
  <c r="H7" i="3" a="1"/>
  <c r="H7" i="3" s="1"/>
  <c r="N21" i="3"/>
  <c r="P21" i="3" a="1"/>
  <c r="P21" i="3" s="1"/>
  <c r="O21" i="3" a="1"/>
  <c r="O21" i="3" s="1"/>
  <c r="I20" i="3" a="1"/>
  <c r="I20" i="3" s="1"/>
  <c r="H20" i="3" a="1"/>
  <c r="H20" i="3" s="1"/>
  <c r="N14" i="3"/>
  <c r="G20" i="3"/>
  <c r="H24" i="3" a="1"/>
  <c r="H24" i="3" s="1"/>
  <c r="V10" i="3" a="1"/>
  <c r="V10" i="3" s="1"/>
  <c r="P25" i="3" a="1"/>
  <c r="P25" i="3" s="1"/>
  <c r="O25" i="3" a="1"/>
  <c r="O25" i="3" s="1"/>
  <c r="H6" i="3" a="1"/>
  <c r="H6" i="3" s="1"/>
  <c r="U9" i="3"/>
  <c r="I24" i="3" a="1"/>
  <c r="I24" i="3" s="1"/>
  <c r="P14" i="3" a="1"/>
  <c r="P14" i="3" s="1"/>
  <c r="I6" i="3" a="1"/>
  <c r="I6" i="3" s="1"/>
  <c r="O13" i="3" a="1"/>
  <c r="O13" i="3" s="1"/>
  <c r="N7" i="3"/>
  <c r="I11" i="3" a="1"/>
  <c r="I11" i="3" s="1"/>
  <c r="H11" i="3" a="1"/>
  <c r="H11" i="3" s="1"/>
  <c r="G11" i="3"/>
  <c r="N12" i="3"/>
  <c r="V21" i="3" a="1"/>
  <c r="V21" i="3" s="1"/>
  <c r="O12" i="3" a="1"/>
  <c r="O12" i="3" s="1"/>
  <c r="G18" i="3"/>
  <c r="O24" i="3" a="1"/>
  <c r="O24" i="3" s="1"/>
  <c r="W8" i="3" a="1"/>
  <c r="W8" i="3" s="1"/>
  <c r="H18" i="3" a="1"/>
  <c r="H18" i="3" s="1"/>
  <c r="U20" i="3"/>
  <c r="H27" i="3" a="1"/>
  <c r="H27" i="3" s="1"/>
  <c r="O11" i="3" a="1"/>
  <c r="O11" i="3" s="1"/>
  <c r="H15" i="3" a="1"/>
  <c r="H15" i="3" s="1"/>
  <c r="W22" i="3" a="1"/>
  <c r="W22" i="3" s="1"/>
  <c r="V22" i="3" a="1"/>
  <c r="V22" i="3" s="1"/>
  <c r="N25" i="3"/>
  <c r="V9" i="3" a="1"/>
  <c r="V9" i="3" s="1"/>
  <c r="W26" i="3" a="1"/>
  <c r="W26" i="3" s="1"/>
  <c r="U21" i="3"/>
  <c r="P13" i="3" a="1"/>
  <c r="P13" i="3" s="1"/>
  <c r="W29" i="3" a="1"/>
  <c r="W29" i="3" s="1"/>
  <c r="V29" i="3" a="1"/>
  <c r="V29" i="3" s="1"/>
  <c r="P6" i="3" a="1"/>
  <c r="P6" i="3" s="1"/>
  <c r="P11" i="3" a="1"/>
  <c r="P11" i="3" s="1"/>
  <c r="W20" i="3" a="1"/>
  <c r="W20" i="3" s="1"/>
  <c r="U10" i="3"/>
  <c r="U22" i="3"/>
  <c r="V26" i="3" a="1"/>
  <c r="V26" i="3" s="1"/>
  <c r="P8" i="3" a="1"/>
  <c r="P8" i="3" s="1"/>
  <c r="O8" i="3" a="1"/>
  <c r="O8" i="3" s="1"/>
  <c r="N8" i="3"/>
  <c r="W28" i="3" a="1"/>
  <c r="W28" i="3" s="1"/>
  <c r="V28" i="3" a="1"/>
  <c r="V28" i="3" s="1"/>
  <c r="G19" i="3"/>
  <c r="H19" i="3" a="1"/>
  <c r="H19" i="3" s="1"/>
  <c r="V8" i="3" a="1"/>
  <c r="V8" i="3" s="1"/>
  <c r="N24" i="3"/>
  <c r="O7" i="3" a="1"/>
  <c r="O7" i="3" s="1"/>
  <c r="G27" i="3"/>
  <c r="N6" i="3"/>
  <c r="G10" i="3"/>
  <c r="W13" i="3" a="1"/>
  <c r="W13" i="3" s="1"/>
  <c r="V13" i="3" a="1"/>
  <c r="V13" i="3" s="1"/>
  <c r="U13" i="3"/>
  <c r="G15" i="3"/>
  <c r="N23" i="3"/>
  <c r="H10" i="3" a="1"/>
  <c r="H10" i="3" s="1"/>
  <c r="O23" i="3" a="1"/>
  <c r="O23" i="3" s="1"/>
  <c r="G26" i="3"/>
  <c r="G9" i="3"/>
  <c r="U19" i="3"/>
  <c r="H26" i="3" a="1"/>
  <c r="H26" i="3" s="1"/>
  <c r="U29" i="3"/>
  <c r="H9" i="3" a="1"/>
  <c r="H9" i="3" s="1"/>
  <c r="U12" i="3"/>
  <c r="H14" i="3" a="1"/>
  <c r="H14" i="3" s="1"/>
  <c r="P18" i="3" a="1"/>
  <c r="P18" i="3" s="1"/>
  <c r="O18" i="3" a="1"/>
  <c r="O18" i="3" s="1"/>
  <c r="N18" i="3"/>
  <c r="V19" i="3" a="1"/>
  <c r="V19" i="3" s="1"/>
  <c r="N22" i="3"/>
  <c r="V12" i="3" a="1"/>
  <c r="V12" i="3" s="1"/>
  <c r="G25" i="3"/>
  <c r="I14" i="3" a="1"/>
  <c r="I14" i="3" s="1"/>
  <c r="H30" i="3" a="1"/>
  <c r="H30" i="3" s="1"/>
  <c r="G21" i="3"/>
  <c r="U23" i="3"/>
  <c r="N26" i="3"/>
  <c r="H21" i="3" a="1"/>
  <c r="H21" i="3" s="1"/>
  <c r="V23" i="3" a="1"/>
  <c r="V23" i="3" s="1"/>
  <c r="O26" i="3" a="1"/>
  <c r="O26" i="3" s="1"/>
  <c r="U6" i="3"/>
  <c r="N9" i="3"/>
  <c r="G12" i="3"/>
  <c r="U14" i="3"/>
  <c r="N19" i="3"/>
  <c r="G22" i="3"/>
  <c r="U24" i="3"/>
  <c r="U27" i="3"/>
  <c r="G31" i="3"/>
  <c r="H31" i="3" a="1"/>
  <c r="H31" i="3" s="1"/>
  <c r="P12" i="1" a="1"/>
  <c r="P12" i="1" s="1"/>
  <c r="P10" i="1" a="1"/>
  <c r="P10" i="1" s="1"/>
  <c r="P14" i="1" a="1"/>
  <c r="P14" i="1" s="1"/>
  <c r="P6" i="1" a="1"/>
  <c r="P6" i="1" s="1"/>
  <c r="P13" i="1" a="1"/>
  <c r="P13" i="1" s="1"/>
  <c r="P11" i="1" a="1"/>
  <c r="P11" i="1" s="1"/>
  <c r="P9" i="1" a="1"/>
  <c r="P9" i="1" s="1"/>
  <c r="P7" i="1" a="1"/>
  <c r="P7" i="1" s="1"/>
  <c r="P8" i="1" a="1"/>
  <c r="P8" i="1" s="1"/>
  <c r="N20" i="1"/>
  <c r="U10" i="1"/>
  <c r="U11" i="1"/>
  <c r="W11" i="1" a="1"/>
  <c r="W11" i="1" s="1"/>
  <c r="W8" i="1" a="1"/>
  <c r="W8" i="1" s="1"/>
  <c r="W12" i="1" a="1"/>
  <c r="W12" i="1" s="1"/>
  <c r="W7" i="1" a="1"/>
  <c r="W7" i="1" s="1"/>
  <c r="U9" i="1"/>
  <c r="W14" i="1" a="1"/>
  <c r="W14" i="1" s="1"/>
  <c r="U13" i="1"/>
  <c r="W9" i="1" a="1"/>
  <c r="W9" i="1" s="1"/>
  <c r="W6" i="1" a="1"/>
  <c r="W6" i="1" s="1"/>
  <c r="W13" i="1" a="1"/>
  <c r="W13" i="1" s="1"/>
  <c r="G9" i="1"/>
  <c r="H26" i="1" a="1"/>
  <c r="H26" i="1" s="1"/>
  <c r="G12" i="1"/>
  <c r="G11" i="1"/>
  <c r="I29" i="1" a="1"/>
  <c r="I29" i="1" s="1"/>
  <c r="N6" i="1"/>
  <c r="N19" i="1"/>
  <c r="N7" i="1"/>
  <c r="N8" i="1"/>
  <c r="G18" i="1"/>
  <c r="U29" i="1"/>
  <c r="G17" i="1"/>
  <c r="U28" i="1"/>
  <c r="N10" i="1"/>
  <c r="G16" i="1"/>
  <c r="U27" i="1"/>
  <c r="N11" i="1"/>
  <c r="N9" i="1"/>
  <c r="U25" i="1"/>
  <c r="N13" i="1"/>
  <c r="N12" i="1"/>
  <c r="U26" i="1"/>
  <c r="N26" i="1"/>
  <c r="U23" i="1"/>
  <c r="N23" i="1"/>
  <c r="U21" i="1"/>
  <c r="N22" i="1"/>
  <c r="U20" i="1"/>
  <c r="G19" i="1"/>
  <c r="N14" i="1"/>
  <c r="U24" i="1"/>
  <c r="G28" i="1"/>
  <c r="N25" i="1"/>
  <c r="G27" i="1"/>
  <c r="N24" i="1"/>
  <c r="U22" i="1"/>
  <c r="G6" i="1"/>
  <c r="N21" i="1"/>
  <c r="U19" i="1"/>
  <c r="U18" i="1"/>
  <c r="H10" i="1" a="1"/>
  <c r="H10" i="1" s="1"/>
  <c r="I13" i="1" a="1"/>
  <c r="I13" i="1" s="1"/>
  <c r="I23" i="1" a="1"/>
  <c r="I23" i="1" s="1"/>
  <c r="I25" i="1" a="1"/>
  <c r="I25" i="1" s="1"/>
  <c r="I24" i="1" a="1"/>
  <c r="I24" i="1" s="1"/>
  <c r="P18" i="1" a="1"/>
  <c r="P18" i="1" s="1"/>
  <c r="H21" i="1" a="1"/>
  <c r="H21" i="1" s="1"/>
  <c r="I20" i="1" a="1"/>
  <c r="I20" i="1" s="1"/>
  <c r="H8" i="1" a="1"/>
  <c r="H8" i="1" s="1"/>
  <c r="H7" i="1" a="1"/>
  <c r="H7" i="1" s="1"/>
  <c r="H22" i="1" a="1"/>
  <c r="H22" i="1" s="1"/>
  <c r="H14" i="1" a="1"/>
  <c r="H14" i="1" s="1"/>
  <c r="H15" i="1" a="1"/>
  <c r="H15" i="1" s="1"/>
  <c r="I30" i="1" a="1"/>
  <c r="I30" i="1" s="1"/>
  <c r="I31" i="1" a="1"/>
  <c r="I31" i="1" s="1"/>
  <c r="H23" i="1" a="1"/>
  <c r="H23" i="1" s="1"/>
  <c r="W23" i="1" a="1"/>
  <c r="W23" i="1" s="1"/>
  <c r="W22" i="1" a="1"/>
  <c r="W22" i="1" s="1"/>
  <c r="H20" i="1" a="1"/>
  <c r="H20" i="1" s="1"/>
  <c r="H28" i="1" a="1"/>
  <c r="H28" i="1" s="1"/>
  <c r="H12" i="1" a="1"/>
  <c r="H12" i="1" s="1"/>
  <c r="I8" i="1" a="1"/>
  <c r="I8" i="1" s="1"/>
  <c r="H24" i="1" a="1"/>
  <c r="H24" i="1" s="1"/>
  <c r="H16" i="1" a="1"/>
  <c r="H16" i="1" s="1"/>
  <c r="P20" i="1" a="1"/>
  <c r="P20" i="1" s="1"/>
  <c r="P24" i="1" a="1"/>
  <c r="P24" i="1" s="1"/>
  <c r="H25" i="1" a="1"/>
  <c r="H25" i="1" s="1"/>
  <c r="H27" i="1" a="1"/>
  <c r="H27" i="1" s="1"/>
  <c r="H11" i="1" a="1"/>
  <c r="H11" i="1" s="1"/>
  <c r="H31" i="1" a="1"/>
  <c r="H31" i="1" s="1"/>
  <c r="H30" i="1" a="1"/>
  <c r="H30" i="1" s="1"/>
  <c r="H13" i="1" a="1"/>
  <c r="H13" i="1" s="1"/>
  <c r="I17" i="1" a="1"/>
  <c r="I17" i="1" s="1"/>
  <c r="I9" i="1" a="1"/>
  <c r="I9" i="1" s="1"/>
  <c r="H29" i="1" a="1"/>
  <c r="H29" i="1" s="1"/>
  <c r="H19" i="1" a="1"/>
  <c r="H19" i="1" s="1"/>
  <c r="I22" i="1" a="1"/>
  <c r="I22" i="1" s="1"/>
  <c r="I14" i="1" a="1"/>
  <c r="I14" i="1" s="1"/>
  <c r="I21" i="1" a="1"/>
  <c r="I21" i="1" s="1"/>
  <c r="I26" i="1" a="1"/>
  <c r="I26" i="1" s="1"/>
  <c r="I18" i="1" a="1"/>
  <c r="I18" i="1" s="1"/>
  <c r="I15" i="1" a="1"/>
  <c r="I15" i="1" s="1"/>
  <c r="I10" i="1" a="1"/>
  <c r="I10" i="1" s="1"/>
  <c r="I7" i="1" a="1"/>
  <c r="I7" i="1" s="1"/>
  <c r="I6" i="1" a="1"/>
  <c r="I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<sst xmlns="http://schemas.openxmlformats.org/spreadsheetml/2006/main" count="701" uniqueCount="234">
  <si>
    <t>M1</t>
  </si>
  <si>
    <t>M9</t>
  </si>
  <si>
    <t>M10</t>
  </si>
  <si>
    <t>M26</t>
  </si>
  <si>
    <t>M43</t>
  </si>
  <si>
    <t>M45</t>
  </si>
  <si>
    <t>M48</t>
  </si>
  <si>
    <t>M66</t>
  </si>
  <si>
    <t>M69</t>
  </si>
  <si>
    <t>M70</t>
  </si>
  <si>
    <t>Sc12</t>
  </si>
  <si>
    <t>H5</t>
  </si>
  <si>
    <t>H6</t>
  </si>
  <si>
    <t>H9</t>
  </si>
  <si>
    <t>H10</t>
  </si>
  <si>
    <t>R4</t>
  </si>
  <si>
    <t>R5</t>
  </si>
  <si>
    <t>R5(6)</t>
  </si>
  <si>
    <t>F2</t>
  </si>
  <si>
    <t>F6a</t>
  </si>
  <si>
    <t>F(63)</t>
  </si>
  <si>
    <t>F18</t>
  </si>
  <si>
    <t>T1a</t>
  </si>
  <si>
    <t>T8a</t>
  </si>
  <si>
    <t>T9a</t>
  </si>
  <si>
    <t>Ta1</t>
  </si>
  <si>
    <t>5-level</t>
  </si>
  <si>
    <t>2-level</t>
  </si>
  <si>
    <t>Model</t>
  </si>
  <si>
    <t>U-1</t>
  </si>
  <si>
    <t>U-2</t>
  </si>
  <si>
    <t>U-3</t>
  </si>
  <si>
    <t>U-4</t>
  </si>
  <si>
    <t>U-5</t>
  </si>
  <si>
    <t>U-6</t>
  </si>
  <si>
    <t>U-7</t>
  </si>
  <si>
    <t>U-8</t>
  </si>
  <si>
    <t>U-9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</si>
  <si>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</si>
  <si>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</si>
  <si>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</si>
  <si>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</si>
  <si>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</si>
  <si>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</si>
  <si>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</si>
  <si>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</si>
  <si>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</si>
  <si>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</si>
  <si>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</si>
  <si>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</si>
  <si>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</si>
  <si>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</si>
  <si>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</si>
  <si>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</si>
  <si>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</si>
  <si>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</si>
  <si>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</si>
  <si>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</si>
  <si>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</si>
  <si>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</si>
  <si>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</si>
  <si>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</si>
  <si>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</si>
  <si>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</si>
  <si>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</si>
  <si>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</si>
  <si>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</si>
  <si>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</si>
  <si>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0.116*M9 + 11.381*Ta1 - 567.377</t>
  </si>
  <si>
    <t>0.112*M10 + 16.278*Ta1 - 809.136</t>
  </si>
  <si>
    <t>17.637*M1 + 139.564*Ta1 - 9983.487</t>
  </si>
  <si>
    <t>5.852*M43 + 27.325*Ta1 - 1921.511</t>
  </si>
  <si>
    <t>4.959*M43 - 4.451*H6+18.158*Ta1 - 1316.058</t>
  </si>
  <si>
    <t>4.241*M43 + 2.531*H5 + 17.606*Ta1 - 1339.822</t>
  </si>
  <si>
    <t>0.49*H5 + 0.227*F6a + 1.102*F(63) - 62.821</t>
  </si>
  <si>
    <t>0.372*M1 + 0.254*M10 + 1.934*H9 - 173.383</t>
  </si>
  <si>
    <t>0.401*M1 - 0.771*R5(6) +1.902*H10 - 129.371</t>
  </si>
  <si>
    <t>0.323*M10 + 0.989*H6 + 0.147*T1a - 105.691</t>
  </si>
  <si>
    <t>0.275*M10 + 0.735*F6a + 1.285*F(63) - 106.902</t>
  </si>
  <si>
    <t>7.941*R5 + 2.796*F18 - 1.932*T9a - 160.648</t>
  </si>
  <si>
    <t>-0.897*Sc12+2.239*H9+4.549*R5-102.273</t>
  </si>
  <si>
    <t>0.887*H9+1.579*R5-51.062</t>
  </si>
  <si>
    <t>1.236*H9+0.242*H10-58.126</t>
  </si>
  <si>
    <t>0.337*H5+1.448*H9-63.027</t>
  </si>
  <si>
    <t>0.312*H10+1.943*R5-32.964</t>
  </si>
  <si>
    <t>0.534*H6+-0.282*R4+2.174*R5-26.599</t>
  </si>
  <si>
    <t>0.421*Sc12+1.887*R5(6)-70.769</t>
  </si>
  <si>
    <t>-0.562*Sc12+0.883*H6+1.928*H9-68.753</t>
  </si>
  <si>
    <t>1.07*H9+-0.64*R4+1.906*R5-51.735</t>
  </si>
  <si>
    <t>0.144*F2+1.091*Ta1-114.142</t>
  </si>
  <si>
    <t>0.105*T1a+0.667*Ta1-69.558</t>
  </si>
  <si>
    <t>0.263*F6a+1.124*F(63)-54.747</t>
  </si>
  <si>
    <t>0.88*F(63)+0.743*Ta1-72.77</t>
  </si>
  <si>
    <t>2.671*F6a+-0.076*T1a+2.828*Ta1-181.265</t>
  </si>
  <si>
    <t>1.283*F6a+0.299*T9a+1.162*Ta1-97.447</t>
  </si>
  <si>
    <t>0.491*F(63)+0.698*T8a+0.509*Ta1-67.745</t>
  </si>
  <si>
    <t>1.084*F6a+1.211*Ta1-88.404</t>
  </si>
  <si>
    <t>0.859*T8a+0.787*Ta1-65.271</t>
  </si>
  <si>
    <t>0.24*M1-43.191</t>
  </si>
  <si>
    <t>0.28*M9-25.577</t>
  </si>
  <si>
    <t>0.103*M10-11.377</t>
  </si>
  <si>
    <t>0.151*M26-18.615</t>
  </si>
  <si>
    <t>0.265*M43-26.342</t>
  </si>
  <si>
    <t>0.521*M45-63.278</t>
  </si>
  <si>
    <t>0.104*M48-6.694</t>
  </si>
  <si>
    <t>0.224*M66-20.085</t>
  </si>
  <si>
    <t>0.251*M69-7.353</t>
  </si>
  <si>
    <t>0.184*M70-10.993</t>
  </si>
  <si>
    <t>0.95*Sc12-32.304</t>
  </si>
  <si>
    <t>0.957*H5-18.785</t>
  </si>
  <si>
    <t>1.48*H6-21.941</t>
  </si>
  <si>
    <t>1.439*H9-56.202</t>
  </si>
  <si>
    <t>0.716*H10-29.371</t>
  </si>
  <si>
    <t>1.172*R4-16.304</t>
  </si>
  <si>
    <t>2.876*R5-29.802</t>
  </si>
  <si>
    <t>0.913*R5(6)-27.823</t>
  </si>
  <si>
    <t>0.106*F2-45.532</t>
  </si>
  <si>
    <t>0.766*F6a-20.538</t>
  </si>
  <si>
    <t>1.277*F(63)-54.07</t>
  </si>
  <si>
    <t>1.178*F18-49.568</t>
  </si>
  <si>
    <t>0.116*T1a-41.733</t>
  </si>
  <si>
    <t>0.867*T8a-27.357</t>
  </si>
  <si>
    <t>0.751*T9a-15.744</t>
  </si>
  <si>
    <t>1.193*Ta1-57.831</t>
  </si>
  <si>
    <t>0.431*M1+0.272*M26+0.249*M70-127.238</t>
  </si>
  <si>
    <t>0.296*M10+0.294*M69+0.344*M70-62.847</t>
  </si>
  <si>
    <t>0.225*M43+0.468*M69+0.237*M70-51.377</t>
  </si>
  <si>
    <t>0.435*M1+-0.133*M48+0.178*M66-86.243</t>
  </si>
  <si>
    <t>0.208*M10+0.341*M70-43.935</t>
  </si>
  <si>
    <t>11.681*M45+-13.183*M48+14.198*M69-1013.141</t>
  </si>
  <si>
    <t>0.3*M26+0.475*M48+0.362*M70-92.499</t>
  </si>
  <si>
    <t>0.495*M1+-0.028*M26+0.396*M66-122.001</t>
  </si>
  <si>
    <t>0.294*M1+0.295*M43+0.167*M66-98.322</t>
  </si>
  <si>
    <t>Skull</t>
  </si>
  <si>
    <t>Upper limb</t>
  </si>
  <si>
    <t>Lower limb</t>
  </si>
  <si>
    <t>Score</t>
  </si>
  <si>
    <t>Measurement</t>
  </si>
  <si>
    <t>Probality M</t>
  </si>
  <si>
    <t>Function</t>
  </si>
  <si>
    <t>Input data (mm)</t>
  </si>
  <si>
    <t>Measurements</t>
  </si>
  <si>
    <t>1D dimension models</t>
  </si>
  <si>
    <t>Upper limb models</t>
  </si>
  <si>
    <t>Lower limb models</t>
  </si>
  <si>
    <t>Skull models</t>
  </si>
  <si>
    <t>Mixed (cranial and postcranial) models</t>
  </si>
  <si>
    <t>Group</t>
  </si>
  <si>
    <t>Bone</t>
  </si>
  <si>
    <t>Code 1</t>
  </si>
  <si>
    <t>Code 2</t>
  </si>
  <si>
    <t>Description</t>
  </si>
  <si>
    <t>cranium</t>
  </si>
  <si>
    <t>Maximum cranial length (g - op)</t>
  </si>
  <si>
    <t>distance between glabella (g) and opisthocranion in the midsagittal plane, measured in a straight line</t>
  </si>
  <si>
    <t>Minimum frontal breadth (ft - ft)</t>
  </si>
  <si>
    <t>direct distance between the two frontotemporale (ft)</t>
  </si>
  <si>
    <t>Maximum frontal breadth (co - co)</t>
  </si>
  <si>
    <t xml:space="preserve">direct distance between the two coronale (co) </t>
  </si>
  <si>
    <t>Frontal sagittal arc (n ∩  b)</t>
  </si>
  <si>
    <t>length of the arc from the nasion (n) to the bregma (b) at the surface of the skull in the midsagittal plane</t>
  </si>
  <si>
    <t>Upper facial breadth (fmt - fmt)</t>
  </si>
  <si>
    <t>direct distance between the two external points on the frontomalar suture (fmt)</t>
  </si>
  <si>
    <t>Bizygomatic breadth (zy - zy)</t>
  </si>
  <si>
    <t>direct distance between most lateral points on the zygomatic aches (zy-zy)</t>
  </si>
  <si>
    <t>Upper facial height (n - pr)</t>
  </si>
  <si>
    <t>direct distance from nasion (n) to prosthion (pr)</t>
  </si>
  <si>
    <t>mandible</t>
  </si>
  <si>
    <t>Bigonial breadth (go - go)</t>
  </si>
  <si>
    <t>direct distance between right and left gonion (go)</t>
  </si>
  <si>
    <t>Chin height (id - gn)</t>
  </si>
  <si>
    <t>direct distance from infradentale (id) to gnathion (gn)</t>
  </si>
  <si>
    <t>Maximum ramus height</t>
  </si>
  <si>
    <t>direct distance from the highest point on the mandibular condyle to gonion (go)</t>
  </si>
  <si>
    <t>scapula</t>
  </si>
  <si>
    <t>Glenoid maximum height</t>
  </si>
  <si>
    <t>direct distance from the most superior to the most inferior point on the circumferential edge of the glenoid fossa</t>
  </si>
  <si>
    <t>humerus</t>
  </si>
  <si>
    <t xml:space="preserve">Maximum midshaft diameter </t>
  </si>
  <si>
    <t>maximum diameter at midshaft</t>
  </si>
  <si>
    <t>Minimum midshaft diameter</t>
  </si>
  <si>
    <t>minimum diameter of midshaft</t>
  </si>
  <si>
    <t>Transversal head diameter</t>
  </si>
  <si>
    <t xml:space="preserve">direct distance between the most lateral points on the border of the articular surface </t>
  </si>
  <si>
    <t>Vertical head diameter</t>
  </si>
  <si>
    <t xml:space="preserve">direct distance between the most superior and inferior points on the border of the articular surface </t>
  </si>
  <si>
    <t>radius</t>
  </si>
  <si>
    <r>
      <t xml:space="preserve">Maximum shaft diameter </t>
    </r>
    <r>
      <rPr>
        <sz val="11"/>
        <color rgb="FF000000"/>
        <rFont val="Aptos Narrow"/>
        <family val="2"/>
      </rPr>
      <t>*</t>
    </r>
  </si>
  <si>
    <t>maximum transverse diameter of the diaphysis measured at the point of greatest development of the interosseous margin</t>
  </si>
  <si>
    <t>Anterior-posterior midshaft diameter</t>
  </si>
  <si>
    <t>distance between anterior and posterior surfaces at midshaft</t>
  </si>
  <si>
    <t>Distal epiphysis breadth</t>
  </si>
  <si>
    <t>the projective distance from the most medial to the most lateral point at the distal epiphysis, measured perpendicular to the lower longitudinal axis of the diaphysis</t>
  </si>
  <si>
    <t>femur</t>
  </si>
  <si>
    <t>Bicondylar length</t>
  </si>
  <si>
    <t>distance from the most superior point on the head to a plane drawn along the inferior surfaces of the distal condyles</t>
  </si>
  <si>
    <t>distance between anterior and posterior surfaces measured approximately at the midpoint of the diaphysis</t>
  </si>
  <si>
    <t>Maximum head diameter</t>
  </si>
  <si>
    <t>the maximum diameter of the femur head, wherever it occurs</t>
  </si>
  <si>
    <r>
      <t>Vertical head diameter</t>
    </r>
    <r>
      <rPr>
        <sz val="11"/>
        <color rgb="FF000000"/>
        <rFont val="Aptos Narrow"/>
        <family val="2"/>
      </rPr>
      <t>*</t>
    </r>
  </si>
  <si>
    <t>distance between the highest (proximal) point of the head to the deepest (distal) point on the inferior aspect of the head</t>
  </si>
  <si>
    <t>tibia</t>
  </si>
  <si>
    <t>Maximum length</t>
  </si>
  <si>
    <t>Maximum tibial length, from the most superior point on the intercondylar eminence to the most distal point of the medial malleolus</t>
  </si>
  <si>
    <t>Maximum diameter at nutrient foramen</t>
  </si>
  <si>
    <t>distance between the anterior crest and the posterior surface at the level of the nutrient foramen</t>
  </si>
  <si>
    <r>
      <t>Transverse diameter at nutrient foramen</t>
    </r>
    <r>
      <rPr>
        <sz val="11"/>
        <color rgb="FF000000"/>
        <rFont val="Aptos Narrow"/>
        <family val="2"/>
      </rPr>
      <t>*</t>
    </r>
  </si>
  <si>
    <t>straight line distance of the medial margin from the interosseous crest at the level of the nutrient foramen</t>
  </si>
  <si>
    <t>talus</t>
  </si>
  <si>
    <t>Physiological length</t>
  </si>
  <si>
    <t>the projective distance from the groove on the posterior side of the bone to the most prominent point on the head</t>
  </si>
  <si>
    <t>Table 3: Overview of the 26 final cranial and postcranial measurements selected for the calculation of logistic regression models</t>
  </si>
  <si>
    <t xml:space="preserve">Code 1: definition of measurement according to Martin &amp; Saller, 1957 and/or Knussman, 1988; code 2: definition of dimensions according to Buikstra &amp; Ubelaker, 1994; *statistically significant bilateral asymmetry at p=0.05 level  </t>
  </si>
  <si>
    <t>(1)</t>
  </si>
  <si>
    <t>(11)</t>
  </si>
  <si>
    <t>(12)</t>
  </si>
  <si>
    <t>(3)</t>
  </si>
  <si>
    <t>(10)</t>
  </si>
  <si>
    <t>(28)</t>
  </si>
  <si>
    <t>(25)</t>
  </si>
  <si>
    <t>(32)</t>
  </si>
  <si>
    <t>(43)</t>
  </si>
  <si>
    <t>(44)</t>
  </si>
  <si>
    <t>(42)</t>
  </si>
  <si>
    <t>(46)</t>
  </si>
  <si>
    <t>(61)</t>
  </si>
  <si>
    <t>(66)</t>
  </si>
  <si>
    <t>(63)</t>
  </si>
  <si>
    <t>(72)</t>
  </si>
  <si>
    <t>(73)</t>
  </si>
  <si>
    <r>
      <rPr>
        <i/>
        <sz val="10"/>
        <color theme="1"/>
        <rFont val="Aptos Narrow"/>
        <family val="2"/>
      </rPr>
      <t>SECOK_2025©</t>
    </r>
    <r>
      <rPr>
        <i/>
        <sz val="10"/>
        <color theme="1"/>
        <rFont val="Aptos Narrow"/>
        <family val="2"/>
        <scheme val="minor"/>
      </rPr>
      <t xml:space="preserve">Brukner Havelková, P., Bukáček, M., Bejdová, Š., Meinerová, T., Bárta, M., Velemínský, P. (2025)  Sex Estimation in the Egyptian Old Kingdom Population (c. 2700–2180 BCE) using Logistic Regression </t>
    </r>
  </si>
  <si>
    <t>120/AS68b/2012_c</t>
  </si>
  <si>
    <t>Shepespuptah</t>
  </si>
  <si>
    <t>30/AS51/2009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</si>
</sst>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3F3F76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color theme="0" tint="-0.499984740745262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name val="Aptos Narrow"/>
      <family val="2"/>
      <scheme val="minor"/>
    </font>
    <font>
      <sz val="12"/>
      <color theme="1"/>
      <name val="Times New Roman"/>
      <family val="1"/>
      <charset val="238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i/>
      <sz val="12"/>
      <color rgb="FF000000"/>
      <name val="Aptos Narrow"/>
      <family val="2"/>
    </font>
    <font>
      <i/>
      <sz val="10"/>
      <color theme="1"/>
      <name val="Aptos Narrow"/>
      <family val="2"/>
      <scheme val="minor"/>
    </font>
    <font>
      <i/>
      <sz val="10"/>
      <color theme="1"/>
      <name val="Aptos Narrow"/>
      <family val="2"/>
    </font>
    <font>
      <b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hair">
        <color auto="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hair">
        <color auto="1"/>
      </bottom>
      <diagonal/>
    </border>
    <border>
      <left style="thick">
        <color theme="0" tint="-0.24994659260841701"/>
      </left>
      <right/>
      <top style="hair">
        <color auto="1"/>
      </top>
      <bottom style="hair">
        <color auto="1"/>
      </bottom>
      <diagonal/>
    </border>
    <border>
      <left/>
      <right style="thick">
        <color theme="0" tint="-0.24994659260841701"/>
      </right>
      <top style="hair">
        <color auto="1"/>
      </top>
      <bottom style="hair">
        <color auto="1"/>
      </bottom>
      <diagonal/>
    </border>
    <border>
      <left style="thick">
        <color theme="0" tint="-0.24994659260841701"/>
      </left>
      <right/>
      <top style="hair">
        <color auto="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hair">
        <color auto="1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78">
    <xf numFmtId="0" fontId="0" fillId="0" borderId="0" xfId="0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2" fontId="6" fillId="5" borderId="5" xfId="2" applyNumberFormat="1" applyFont="1" applyFill="1" applyBorder="1" applyAlignment="1">
      <alignment horizontal="right" vertical="center" wrapText="1" indent="1"/>
    </xf>
    <xf numFmtId="2" fontId="6" fillId="5" borderId="7" xfId="2" applyNumberFormat="1" applyFont="1" applyFill="1" applyBorder="1" applyAlignment="1">
      <alignment horizontal="right" vertical="center" wrapText="1" indent="1"/>
    </xf>
    <xf numFmtId="164" fontId="12" fillId="3" borderId="0" xfId="1" applyNumberFormat="1" applyFont="1" applyFill="1" applyBorder="1" applyAlignment="1" applyProtection="1">
      <alignment horizontal="right" indent="1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164" fontId="12" fillId="3" borderId="14" xfId="1" applyNumberFormat="1" applyFont="1" applyFill="1" applyBorder="1" applyAlignment="1" applyProtection="1">
      <alignment horizontal="right" indent="1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3" fillId="3" borderId="14" xfId="0" applyFont="1" applyFill="1" applyBorder="1" applyAlignment="1" applyProtection="1">
      <alignment horizontal="center"/>
      <protection hidden="1"/>
    </xf>
    <xf numFmtId="0" fontId="3" fillId="4" borderId="11" xfId="0" applyFont="1" applyFill="1" applyBorder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3" fillId="4" borderId="12" xfId="0" applyFont="1" applyFill="1" applyBorder="1" applyAlignment="1" applyProtection="1">
      <alignment vertical="center"/>
      <protection hidden="1"/>
    </xf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7" fillId="4" borderId="10" xfId="0" applyFont="1" applyFill="1" applyBorder="1" applyAlignment="1" applyProtection="1">
      <alignment vertical="center"/>
      <protection hidden="1"/>
    </xf>
    <xf numFmtId="0" fontId="7" fillId="4" borderId="8" xfId="0" applyFont="1" applyFill="1" applyBorder="1" applyAlignment="1" applyProtection="1">
      <alignment vertical="center"/>
      <protection hidden="1"/>
    </xf>
    <xf numFmtId="0" fontId="3" fillId="4" borderId="11" xfId="0" applyFont="1" applyFill="1" applyBorder="1" applyAlignment="1" applyProtection="1">
      <alignment vertical="center" wrapText="1"/>
      <protection hidden="1"/>
    </xf>
    <xf numFmtId="2" fontId="3" fillId="3" borderId="0" xfId="0" applyNumberFormat="1" applyFont="1" applyFill="1" applyAlignment="1" applyProtection="1">
      <alignment horizontal="right" indent="1"/>
      <protection hidden="1"/>
    </xf>
    <xf numFmtId="0" fontId="4" fillId="3" borderId="12" xfId="0" applyFont="1" applyFill="1" applyBorder="1" applyProtection="1"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10" fillId="3" borderId="12" xfId="0" applyFont="1" applyFill="1" applyBorder="1" applyProtection="1">
      <protection hidden="1"/>
    </xf>
    <xf numFmtId="0" fontId="7" fillId="4" borderId="13" xfId="0" applyFont="1" applyFill="1" applyBorder="1" applyAlignment="1" applyProtection="1">
      <alignment vertical="center" wrapText="1"/>
      <protection hidden="1"/>
    </xf>
    <xf numFmtId="2" fontId="7" fillId="3" borderId="14" xfId="0" applyNumberFormat="1" applyFont="1" applyFill="1" applyBorder="1" applyAlignment="1" applyProtection="1">
      <alignment horizontal="right" indent="1"/>
      <protection hidden="1"/>
    </xf>
    <xf numFmtId="0" fontId="10" fillId="3" borderId="15" xfId="0" applyFont="1" applyFill="1" applyBorder="1" applyProtection="1">
      <protection hidden="1"/>
    </xf>
    <xf numFmtId="0" fontId="3" fillId="4" borderId="13" xfId="0" applyFont="1" applyFill="1" applyBorder="1" applyAlignment="1" applyProtection="1">
      <alignment vertical="center" wrapText="1"/>
      <protection hidden="1"/>
    </xf>
    <xf numFmtId="2" fontId="3" fillId="3" borderId="14" xfId="0" applyNumberFormat="1" applyFont="1" applyFill="1" applyBorder="1" applyAlignment="1" applyProtection="1">
      <alignment horizontal="right" indent="1"/>
      <protection hidden="1"/>
    </xf>
    <xf numFmtId="0" fontId="4" fillId="3" borderId="15" xfId="0" applyFont="1" applyFill="1" applyBorder="1" applyProtection="1">
      <protection hidden="1"/>
    </xf>
    <xf numFmtId="0" fontId="0" fillId="3" borderId="0" xfId="0" applyFill="1"/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4" fillId="6" borderId="0" xfId="0" applyFont="1" applyFill="1"/>
    <xf numFmtId="0" fontId="16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Protection="1">
      <protection hidden="1"/>
    </xf>
    <xf numFmtId="0" fontId="3" fillId="6" borderId="0" xfId="0" applyFont="1" applyFill="1" applyAlignment="1" applyProtection="1">
      <alignment vertical="center"/>
      <protection hidden="1"/>
    </xf>
    <xf numFmtId="0" fontId="7" fillId="6" borderId="0" xfId="0" applyFont="1" applyFill="1" applyAlignment="1" applyProtection="1">
      <alignment vertical="center" wrapText="1"/>
      <protection hidden="1"/>
    </xf>
    <xf numFmtId="165" fontId="7" fillId="6" borderId="0" xfId="0" applyNumberFormat="1" applyFont="1" applyFill="1" applyAlignment="1" applyProtection="1">
      <alignment horizontal="left"/>
      <protection hidden="1"/>
    </xf>
    <xf numFmtId="164" fontId="8" fillId="6" borderId="0" xfId="1" applyNumberFormat="1" applyFont="1" applyFill="1" applyBorder="1" applyAlignment="1" applyProtection="1">
      <alignment horizontal="center"/>
      <protection hidden="1"/>
    </xf>
    <xf numFmtId="0" fontId="9" fillId="6" borderId="0" xfId="0" applyFont="1" applyFill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/>
      <protection hidden="1"/>
    </xf>
    <xf numFmtId="0" fontId="10" fillId="6" borderId="0" xfId="0" applyFont="1" applyFill="1" applyProtection="1">
      <protection hidden="1"/>
    </xf>
    <xf numFmtId="0" fontId="3" fillId="6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left"/>
      <protection hidden="1"/>
    </xf>
    <xf numFmtId="0" fontId="4" fillId="6" borderId="0" xfId="0" applyFont="1" applyFill="1" applyProtection="1">
      <protection hidden="1"/>
    </xf>
    <xf numFmtId="0" fontId="17" fillId="6" borderId="0" xfId="0" applyFont="1" applyFill="1"/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0" fillId="6" borderId="0" xfId="0" applyFill="1"/>
    <xf numFmtId="0" fontId="7" fillId="6" borderId="0" xfId="0" applyFont="1" applyFill="1"/>
    <xf numFmtId="0" fontId="14" fillId="0" borderId="19" xfId="0" applyFont="1" applyBorder="1" applyAlignment="1">
      <alignment vertical="center"/>
    </xf>
    <xf numFmtId="49" fontId="14" fillId="0" borderId="1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vertical="top"/>
    </xf>
    <xf numFmtId="0" fontId="14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vertical="top"/>
    </xf>
    <xf numFmtId="2" fontId="7" fillId="3" borderId="0" xfId="0" applyNumberFormat="1" applyFont="1" applyFill="1" applyAlignment="1" applyProtection="1">
      <alignment horizontal="right" indent="1"/>
      <protection hidden="1"/>
    </xf>
    <xf numFmtId="0" fontId="19" fillId="6" borderId="0" xfId="0" applyFont="1" applyFill="1"/>
    <xf numFmtId="0" fontId="11" fillId="4" borderId="16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16" xfId="0" applyFont="1" applyFill="1" applyBorder="1" applyAlignment="1" applyProtection="1">
      <alignment horizontal="left"/>
      <protection hidden="1"/>
    </xf>
    <xf numFmtId="0" fontId="11" fillId="4" borderId="17" xfId="0" applyFont="1" applyFill="1" applyBorder="1" applyAlignment="1" applyProtection="1">
      <alignment horizontal="left"/>
      <protection hidden="1"/>
    </xf>
    <xf numFmtId="0" fontId="11" fillId="4" borderId="18" xfId="0" applyFont="1" applyFill="1" applyBorder="1" applyAlignment="1" applyProtection="1">
      <alignment horizontal="left"/>
      <protection hidden="1"/>
    </xf>
    <xf numFmtId="0" fontId="11" fillId="4" borderId="16" xfId="0" applyFont="1" applyFill="1" applyBorder="1" applyAlignment="1" applyProtection="1">
      <alignment horizontal="left" vertical="center" wrapText="1"/>
      <protection hidden="1"/>
    </xf>
    <xf numFmtId="0" fontId="11" fillId="4" borderId="17" xfId="0" applyFont="1" applyFill="1" applyBorder="1" applyAlignment="1" applyProtection="1">
      <alignment horizontal="left" vertical="center" wrapText="1"/>
      <protection hidden="1"/>
    </xf>
    <xf numFmtId="0" fontId="11" fillId="4" borderId="18" xfId="0" applyFont="1" applyFill="1" applyBorder="1" applyAlignment="1" applyProtection="1">
      <alignment horizontal="left" vertical="center" wrapText="1"/>
      <protection hidden="1"/>
    </xf>
    <xf numFmtId="0" fontId="14" fillId="0" borderId="19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</cellXfs>
  <cellStyles count="3">
    <cellStyle name="Normální" xfId="0" builtinId="0"/>
    <cellStyle name="Procenta" xfId="1" builtinId="5"/>
    <cellStyle name="Vstup" xfId="2" builtinId="20"/>
  </cellStyles>
  <dxfs count="123"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</font>
      <fill>
        <patternFill>
          <bgColor rgb="FFC00000"/>
        </patternFill>
      </fill>
    </dxf>
    <dxf>
      <fill>
        <patternFill>
          <bgColor rgb="FFFF9966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99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</font>
      <fill>
        <patternFill>
          <bgColor rgb="FFC00000"/>
        </patternFill>
      </fill>
    </dxf>
    <dxf>
      <fill>
        <patternFill>
          <bgColor rgb="FFFF9966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99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</font>
      <fill>
        <patternFill>
          <bgColor rgb="FFC00000"/>
        </patternFill>
      </fill>
    </dxf>
    <dxf>
      <fill>
        <patternFill>
          <bgColor rgb="FFFF9966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99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/>
        <i val="0"/>
      </font>
      <fill>
        <patternFill>
          <bgColor rgb="FFFF3737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669900"/>
        </patternFill>
      </fill>
    </dxf>
    <dxf>
      <font>
        <b val="0"/>
        <i val="0"/>
      </font>
      <fill>
        <patternFill>
          <bgColor rgb="FFFF9966"/>
        </patternFill>
      </fill>
    </dxf>
    <dxf>
      <font>
        <b/>
        <i val="0"/>
      </font>
      <fill>
        <patternFill>
          <bgColor rgb="FFFF3737"/>
        </patternFill>
      </fill>
    </dxf>
  </dxfs>
  <tableStyles count="0" defaultTableStyle="TableStyleMedium2" defaultPivotStyle="PivotStyleLight16"/>
  <colors>
    <mruColors>
      <color rgb="FFFFFF99"/>
      <color rgb="FFFF9966"/>
      <color rgb="FFFF3737"/>
      <color rgb="FFF9556C"/>
      <color rgb="FF669900"/>
      <color rgb="FF4EA42C"/>
      <color rgb="FFFF1D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356705</xdr:colOff>
      <xdr:row>0</xdr:row>
      <xdr:rowOff>59791</xdr:rowOff>
    </xdr:from>
    <xdr:ext cx="4925387" cy="374077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2D08BCC9-1751-AC8D-ACE0-34D83F73A27C}"/>
            </a:ext>
          </a:extLst>
        </xdr:cNvPr>
        <xdr:cNvSpPr/>
      </xdr:nvSpPr>
      <xdr:spPr>
        <a:xfrm>
          <a:off x="356705" y="59791"/>
          <a:ext cx="4925387" cy="37407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cs-CZ" sz="1800" b="1" cap="small" spc="0" baseline="0">
              <a:ln/>
              <a:solidFill>
                <a:schemeClr val="accent3"/>
              </a:solidFill>
              <a:effectLst/>
            </a:rPr>
            <a:t>Sex Estimation Calculator for Old Kingdom samples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356705</xdr:colOff>
      <xdr:row>0</xdr:row>
      <xdr:rowOff>59791</xdr:rowOff>
    </xdr:from>
    <xdr:ext cx="4925387" cy="374077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E573727D-D0EA-4F18-80A3-413A2D1FAC11}"/>
            </a:ext>
          </a:extLst>
        </xdr:cNvPr>
        <xdr:cNvSpPr/>
      </xdr:nvSpPr>
      <xdr:spPr>
        <a:xfrm>
          <a:off x="356705" y="59791"/>
          <a:ext cx="4925387" cy="37407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cs-CZ" sz="1800" b="1" cap="small" spc="0" baseline="0">
              <a:ln/>
              <a:solidFill>
                <a:schemeClr val="accent3"/>
              </a:solidFill>
              <a:effectLst/>
            </a:rPr>
            <a:t>Sex Estimation Calculator for Old Kingdom samples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356705</xdr:colOff>
      <xdr:row>0</xdr:row>
      <xdr:rowOff>59791</xdr:rowOff>
    </xdr:from>
    <xdr:ext cx="4925387" cy="374077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FF7519F2-7753-429E-8493-2B9E48773B90}"/>
            </a:ext>
          </a:extLst>
        </xdr:cNvPr>
        <xdr:cNvSpPr/>
      </xdr:nvSpPr>
      <xdr:spPr>
        <a:xfrm>
          <a:off x="356705" y="59791"/>
          <a:ext cx="4925387" cy="37407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cs-CZ" sz="1800" b="1" cap="small" spc="0" baseline="0">
              <a:ln/>
              <a:solidFill>
                <a:schemeClr val="accent3"/>
              </a:solidFill>
              <a:effectLst/>
            </a:rPr>
            <a:t>Sex Estimation Calculator for Old Kingdom samples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4DD5-8EEE-4579-8C49-2ADB9D3EF7BB}">
  <dimension ref="A1:Y37"/>
  <sheetViews>
    <sheetView tabSelected="1" workbookViewId="0">
      <selection activeCell="C17" sqref="C17:C23"/>
    </sheetView>
  </sheetViews>
  <sheetFormatPr defaultColWidth="9.140625" defaultRowHeight="13.5" x14ac:dyDescent="0.25"/>
  <cols>
    <col min="1" max="1" width="6.28515625" style="2" customWidth="1"/>
    <col min="2" max="2" width="6.42578125" style="2" customWidth="1"/>
    <col min="3" max="3" width="12.85546875" style="3" bestFit="1" customWidth="1"/>
    <col min="4" max="4" width="3" style="3" customWidth="1"/>
    <col min="5" max="5" width="7.28515625" style="3" customWidth="1"/>
    <col min="6" max="6" width="7" style="4" bestFit="1" customWidth="1"/>
    <col min="7" max="7" width="9.85546875" style="3" customWidth="1"/>
    <col min="8" max="9" width="5.85546875" style="3" bestFit="1" customWidth="1"/>
    <col min="10" max="10" width="16.5703125" style="2" bestFit="1" customWidth="1"/>
    <col min="11" max="11" width="3.140625" style="2" customWidth="1"/>
    <col min="12" max="12" width="6.42578125" style="2" bestFit="1" customWidth="1"/>
    <col min="13" max="13" width="8" style="4" customWidth="1"/>
    <col min="14" max="14" width="10.85546875" style="3" bestFit="1" customWidth="1"/>
    <col min="15" max="15" width="6.7109375" style="3" customWidth="1"/>
    <col min="16" max="16" width="5.85546875" style="3" bestFit="1" customWidth="1"/>
    <col min="17" max="17" width="35.42578125" style="1" bestFit="1" customWidth="1"/>
    <col min="18" max="18" width="2.5703125" style="2" customWidth="1"/>
    <col min="19" max="19" width="5.28515625" style="2" bestFit="1" customWidth="1"/>
    <col min="20" max="20" width="8.7109375" style="2" bestFit="1" customWidth="1"/>
    <col min="21" max="21" width="9.42578125" style="2" bestFit="1" customWidth="1"/>
    <col min="22" max="23" width="5.85546875" style="2" bestFit="1" customWidth="1"/>
    <col min="24" max="24" width="41.28515625" style="2" bestFit="1" customWidth="1"/>
    <col min="25" max="16384" width="9.140625" style="2"/>
  </cols>
  <sheetData>
    <row r="1" spans="1:25" x14ac:dyDescent="0.25">
      <c r="A1" s="39"/>
      <c r="B1" s="39"/>
      <c r="C1" s="40"/>
      <c r="D1" s="40"/>
      <c r="E1" s="40"/>
      <c r="F1" s="41"/>
      <c r="G1" s="40"/>
      <c r="H1" s="40"/>
      <c r="I1" s="40"/>
      <c r="J1" s="39"/>
      <c r="K1" s="39"/>
      <c r="L1" s="39"/>
      <c r="M1" s="41"/>
      <c r="N1" s="40"/>
      <c r="O1" s="40"/>
      <c r="P1" s="40"/>
      <c r="Q1" s="42"/>
      <c r="R1" s="39"/>
      <c r="S1" s="39"/>
      <c r="T1" s="39"/>
      <c r="U1" s="39"/>
      <c r="V1" s="39"/>
      <c r="W1" s="39"/>
      <c r="X1" s="39"/>
      <c r="Y1" s="39"/>
    </row>
    <row r="2" spans="1:25" ht="15.75" x14ac:dyDescent="0.25">
      <c r="A2" s="39"/>
      <c r="B2" s="43"/>
      <c r="C2" s="40"/>
      <c r="D2" s="40"/>
      <c r="E2" s="40"/>
      <c r="F2" s="41"/>
      <c r="G2" s="40"/>
      <c r="H2" s="40"/>
      <c r="I2" s="40"/>
      <c r="J2" s="39"/>
      <c r="K2" s="39"/>
      <c r="L2" s="39"/>
      <c r="M2" s="41"/>
      <c r="N2" s="40"/>
      <c r="O2" s="40"/>
      <c r="P2" s="40"/>
      <c r="Q2" s="42"/>
      <c r="R2" s="39"/>
      <c r="S2" s="39"/>
      <c r="T2" s="39"/>
      <c r="U2" s="39"/>
      <c r="V2" s="39"/>
      <c r="W2" s="39"/>
      <c r="X2" s="39"/>
      <c r="Y2" s="39"/>
    </row>
    <row r="3" spans="1:25" ht="14.25" thickBot="1" x14ac:dyDescent="0.3">
      <c r="A3" s="39"/>
      <c r="B3" s="39"/>
      <c r="C3" s="40"/>
      <c r="D3" s="40"/>
      <c r="E3" s="40"/>
      <c r="F3" s="41"/>
      <c r="G3" s="40"/>
      <c r="H3" s="40"/>
      <c r="I3" s="40"/>
      <c r="J3" s="39"/>
      <c r="K3" s="39"/>
      <c r="L3" s="39"/>
      <c r="M3" s="41"/>
      <c r="N3" s="40"/>
      <c r="O3" s="40"/>
      <c r="P3" s="40"/>
      <c r="Q3" s="42"/>
      <c r="R3" s="39"/>
      <c r="S3" s="39"/>
      <c r="T3" s="39"/>
      <c r="U3" s="39"/>
      <c r="V3" s="39"/>
      <c r="W3" s="39"/>
      <c r="X3" s="39"/>
      <c r="Y3" s="39"/>
    </row>
    <row r="4" spans="1:25" ht="15" thickTop="1" thickBot="1" x14ac:dyDescent="0.3">
      <c r="A4" s="39"/>
      <c r="B4" s="68" t="s">
        <v>141</v>
      </c>
      <c r="C4" s="69"/>
      <c r="D4" s="40"/>
      <c r="E4" s="70" t="s">
        <v>142</v>
      </c>
      <c r="F4" s="71"/>
      <c r="G4" s="71"/>
      <c r="H4" s="71"/>
      <c r="I4" s="71"/>
      <c r="J4" s="72"/>
      <c r="K4" s="45"/>
      <c r="L4" s="73" t="s">
        <v>143</v>
      </c>
      <c r="M4" s="74"/>
      <c r="N4" s="74"/>
      <c r="O4" s="74"/>
      <c r="P4" s="74"/>
      <c r="Q4" s="75"/>
      <c r="R4" s="45"/>
      <c r="S4" s="73" t="s">
        <v>145</v>
      </c>
      <c r="T4" s="74"/>
      <c r="U4" s="74"/>
      <c r="V4" s="74"/>
      <c r="W4" s="74"/>
      <c r="X4" s="75"/>
      <c r="Y4" s="39"/>
    </row>
    <row r="5" spans="1:25" s="7" customFormat="1" ht="15.75" customHeight="1" thickTop="1" x14ac:dyDescent="0.25">
      <c r="A5" s="44"/>
      <c r="B5" s="8" t="s">
        <v>149</v>
      </c>
      <c r="C5" s="9" t="s">
        <v>140</v>
      </c>
      <c r="D5" s="57"/>
      <c r="E5" s="18" t="s">
        <v>28</v>
      </c>
      <c r="F5" s="19" t="s">
        <v>136</v>
      </c>
      <c r="G5" s="20" t="s">
        <v>138</v>
      </c>
      <c r="H5" s="20" t="s">
        <v>26</v>
      </c>
      <c r="I5" s="20" t="s">
        <v>27</v>
      </c>
      <c r="J5" s="21" t="s">
        <v>139</v>
      </c>
      <c r="K5" s="46"/>
      <c r="L5" s="22" t="s">
        <v>28</v>
      </c>
      <c r="M5" s="23" t="s">
        <v>136</v>
      </c>
      <c r="N5" s="24" t="s">
        <v>138</v>
      </c>
      <c r="O5" s="24" t="s">
        <v>26</v>
      </c>
      <c r="P5" s="24" t="s">
        <v>27</v>
      </c>
      <c r="Q5" s="25" t="s">
        <v>139</v>
      </c>
      <c r="R5" s="46"/>
      <c r="S5" s="26" t="s">
        <v>28</v>
      </c>
      <c r="T5" s="23" t="s">
        <v>136</v>
      </c>
      <c r="U5" s="24" t="s">
        <v>138</v>
      </c>
      <c r="V5" s="24" t="s">
        <v>26</v>
      </c>
      <c r="W5" s="24" t="s">
        <v>27</v>
      </c>
      <c r="X5" s="25" t="s">
        <v>139</v>
      </c>
      <c r="Y5" s="44"/>
    </row>
    <row r="6" spans="1:25" x14ac:dyDescent="0.25">
      <c r="A6" s="39"/>
      <c r="B6" s="5" t="s">
        <v>0</v>
      </c>
      <c r="C6" s="10"/>
      <c r="D6" s="58"/>
      <c r="E6" s="27" t="s">
        <v>0</v>
      </c>
      <c r="F6" s="28" t="str">
        <f>IF(C6&gt;0,0.24*C6-43.191,"")</f>
        <v/>
      </c>
      <c r="G6" s="12" t="str">
        <f t="shared" ref="G6:G31" si="0">IF(ISNUMBER(F6),1/(1+EXP(-F6)),"")</f>
        <v/>
      </c>
      <c r="H6" s="13" t="str" cm="1">
        <f t="array" ref="H6">_xlfn.IFS(F6="","",F6&lt;-2.94,"F",AND(F6&gt;=-2.94,F6&lt;-1.73),"pF",AND(F6&gt;=-1.73,F6&lt;1.73),"ND",AND(F6&gt;=1.73,F6&lt;2.94),"pM",F6&gt;2.94,"M")</f>
        <v/>
      </c>
      <c r="I6" s="14" t="str" cm="1">
        <f t="array" ref="I6">_xlfn.IFS(F6="","",F6&lt;0,"F",F6=0,"ND",F6&gt;0,"M")</f>
        <v/>
      </c>
      <c r="J6" s="29" t="s">
        <v>98</v>
      </c>
      <c r="K6" s="45"/>
      <c r="L6" s="30" t="s">
        <v>29</v>
      </c>
      <c r="M6" s="66" t="str">
        <f>IF(AND(C16&gt;0,C19&gt;0,C22&gt;0),-0.897*C16+2.239*C19+4.549*C22-102.273,"")</f>
        <v/>
      </c>
      <c r="N6" s="12" t="str">
        <f t="shared" ref="N6:N14" si="1">IF(ISNUMBER(M6),1/(1+EXP(-M6)),"")</f>
        <v/>
      </c>
      <c r="O6" s="13" t="str" cm="1">
        <f t="array" ref="O6">_xlfn.IFS(M6="","",M6&lt;-2.94,"F",AND(M6&gt;=-2.94,M6&lt;-1.73),"pF",AND(M6&gt;=-1.73,M6&lt;1.73),"ND",AND(M6&gt;=1.73,M6&lt;2.94),"pM",M6&gt;2.94,"M")</f>
        <v/>
      </c>
      <c r="P6" s="14" t="str" cm="1">
        <f t="array" ref="P6">_xlfn.IFS(M6="","",M6&lt;0,"F",M6=0,"ND",M6&gt;0,"M")</f>
        <v/>
      </c>
      <c r="Q6" s="31" t="s">
        <v>80</v>
      </c>
      <c r="R6" s="45"/>
      <c r="S6" s="30" t="s">
        <v>47</v>
      </c>
      <c r="T6" s="66" t="str">
        <f>IF(AND(C6&gt;0,C9&gt;0,C15&gt;0),0.431*C6+0.272*C9+0.249*C15-127.238,"")</f>
        <v/>
      </c>
      <c r="U6" s="12" t="str">
        <f t="shared" ref="U6:U14" si="2">IF(ISNUMBER(T6),1/(1+EXP(-T6)),"")</f>
        <v/>
      </c>
      <c r="V6" s="13" t="str" cm="1">
        <f t="array" ref="V6">_xlfn.IFS(T6="","",T6&lt;-2.94,"F",AND(T6&gt;=-2.94,T6&lt;-1.73),"pF",AND(T6&gt;=-1.73,T6&lt;1.73),"ND",AND(T6&gt;=1.73,T6&lt;2.94),"pM",T6&gt;2.94,"M")</f>
        <v/>
      </c>
      <c r="W6" s="14" t="str" cm="1">
        <f t="array" ref="W6">_xlfn.IFS(T6="","",T6&lt;0,"F",T6=0,"ND",T6&gt;0,"M")</f>
        <v/>
      </c>
      <c r="X6" s="31" t="s">
        <v>124</v>
      </c>
      <c r="Y6" s="39"/>
    </row>
    <row r="7" spans="1:25" x14ac:dyDescent="0.25">
      <c r="A7" s="39"/>
      <c r="B7" s="5" t="s">
        <v>1</v>
      </c>
      <c r="C7" s="10"/>
      <c r="D7" s="58"/>
      <c r="E7" s="27" t="s">
        <v>1</v>
      </c>
      <c r="F7" s="28" t="str">
        <f>IF(C7&gt;0,0.28*C7-25.577,"")</f>
        <v/>
      </c>
      <c r="G7" s="12" t="str">
        <f t="shared" si="0"/>
        <v/>
      </c>
      <c r="H7" s="13" t="str" cm="1">
        <f t="array" ref="H7">_xlfn.IFS(F7="","",F7&lt;-2.94,"F",AND(F7&gt;=-2.94,F7&lt;-1.73),"pF",AND(F7&gt;=-1.73,F7&lt;1.73),"ND",AND(F7&gt;=1.73,F7&lt;2.94),"pM",F7&gt;2.94,"M")</f>
        <v/>
      </c>
      <c r="I7" s="14" t="str" cm="1">
        <f t="array" ref="I7">_xlfn.IFS(F7="","",F7&lt;0,"F",F7=0,"ND",F7&gt;0,"M")</f>
        <v/>
      </c>
      <c r="J7" s="29" t="s">
        <v>99</v>
      </c>
      <c r="K7" s="45"/>
      <c r="L7" s="30" t="s">
        <v>30</v>
      </c>
      <c r="M7" s="66" t="str">
        <f>IF(AND(C19&gt;0,C22&gt;0),0.887*C19+1.579*C22-51.062,"")</f>
        <v/>
      </c>
      <c r="N7" s="12" t="str">
        <f t="shared" si="1"/>
        <v/>
      </c>
      <c r="O7" s="13" t="str" cm="1">
        <f t="array" ref="O7">_xlfn.IFS(M7="","",M7&lt;-2.94,"F",AND(M7&gt;=-2.94,M7&lt;-1.73),"pF",AND(M7&gt;=-1.73,M7&lt;1.73),"ND",AND(M7&gt;=1.73,M7&lt;2.94),"pM",M7&gt;2.94,"M")</f>
        <v/>
      </c>
      <c r="P7" s="14" t="str" cm="1">
        <f t="array" ref="P7">_xlfn.IFS(M7="","",M7&lt;0,"F",M7=0,"ND",M7&gt;0,"M")</f>
        <v/>
      </c>
      <c r="Q7" s="31" t="s">
        <v>81</v>
      </c>
      <c r="R7" s="45"/>
      <c r="S7" s="30" t="s">
        <v>48</v>
      </c>
      <c r="T7" s="66" t="str">
        <f>IF(AND(C8&gt;0,C14&gt;0,C15&gt;0),0.296*C8+0.294*C14+0.344*C15-62.847,"")</f>
        <v/>
      </c>
      <c r="U7" s="12" t="str">
        <f t="shared" si="2"/>
        <v/>
      </c>
      <c r="V7" s="13" t="str" cm="1">
        <f t="array" ref="V7">_xlfn.IFS(T7="","",T7&lt;-2.94,"F",AND(T7&gt;=-2.94,T7&lt;-1.73),"pF",AND(T7&gt;=-1.73,T7&lt;1.73),"ND",AND(T7&gt;=1.73,T7&lt;2.94),"pM",T7&gt;2.94,"M")</f>
        <v/>
      </c>
      <c r="W7" s="14" t="str" cm="1">
        <f t="array" ref="W7">_xlfn.IFS(T7="","",T7&lt;0,"F",T7=0,"ND",T7&gt;0,"M")</f>
        <v/>
      </c>
      <c r="X7" s="31" t="s">
        <v>125</v>
      </c>
      <c r="Y7" s="39"/>
    </row>
    <row r="8" spans="1:25" x14ac:dyDescent="0.25">
      <c r="A8" s="39"/>
      <c r="B8" s="5" t="s">
        <v>2</v>
      </c>
      <c r="C8" s="10"/>
      <c r="D8" s="58"/>
      <c r="E8" s="27" t="s">
        <v>2</v>
      </c>
      <c r="F8" s="28" t="str">
        <f>IF(C8&gt;0,0.103*C8-11.377,"")</f>
        <v/>
      </c>
      <c r="G8" s="12" t="str">
        <f t="shared" si="0"/>
        <v/>
      </c>
      <c r="H8" s="13" t="str" cm="1">
        <f t="array" ref="H8">_xlfn.IFS(F8="","",F8&lt;-2.94,"F",AND(F8&gt;=-2.94,F8&lt;-1.73),"pF",AND(F8&gt;=-1.73,F8&lt;1.73),"ND",AND(F8&gt;=1.73,F8&lt;2.94),"pM",F8&gt;2.94,"M")</f>
        <v/>
      </c>
      <c r="I8" s="14" t="str" cm="1">
        <f t="array" ref="I8">_xlfn.IFS(F8="","",F8&lt;0,"F",F8=0,"ND",F8&gt;0,"M")</f>
        <v/>
      </c>
      <c r="J8" s="29" t="s">
        <v>100</v>
      </c>
      <c r="K8" s="45"/>
      <c r="L8" s="30" t="s">
        <v>31</v>
      </c>
      <c r="M8" s="66" t="str">
        <f>IF(AND(C19&gt;0,C20&gt;0),1.236*C19+0.242*C20-58.126,"")</f>
        <v/>
      </c>
      <c r="N8" s="12" t="str">
        <f t="shared" si="1"/>
        <v/>
      </c>
      <c r="O8" s="13" t="str" cm="1">
        <f t="array" ref="O8">_xlfn.IFS(M8="","",M8&lt;-2.94,"F",AND(M8&gt;=-2.94,M8&lt;-1.73),"pF",AND(M8&gt;=-1.73,M8&lt;1.73),"ND",AND(M8&gt;=1.73,M8&lt;2.94),"pM",M8&gt;2.94,"M")</f>
        <v/>
      </c>
      <c r="P8" s="14" t="str" cm="1">
        <f t="array" ref="P8">_xlfn.IFS(M8="","",M8&lt;0,"F",M8=0,"ND",M8&gt;0,"M")</f>
        <v/>
      </c>
      <c r="Q8" s="31" t="s">
        <v>82</v>
      </c>
      <c r="R8" s="45"/>
      <c r="S8" s="30" t="s">
        <v>49</v>
      </c>
      <c r="T8" s="66" t="str">
        <f>IF(AND(C10&gt;0,C14&gt;0,C15&gt;0),0.225*C10+0.468*C14+0.237*C15-51.377,"")</f>
        <v/>
      </c>
      <c r="U8" s="12" t="str">
        <f t="shared" si="2"/>
        <v/>
      </c>
      <c r="V8" s="13" t="str" cm="1">
        <f t="array" ref="V8">_xlfn.IFS(T8="","",T8&lt;-2.94,"F",AND(T8&gt;=-2.94,T8&lt;-1.73),"pF",AND(T8&gt;=-1.73,T8&lt;1.73),"ND",AND(T8&gt;=1.73,T8&lt;2.94),"pM",T8&gt;2.94,"M")</f>
        <v/>
      </c>
      <c r="W8" s="14" t="str" cm="1">
        <f t="array" ref="W8">_xlfn.IFS(T8="","",T8&lt;0,"F",T8=0,"ND",T8&gt;0,"M")</f>
        <v/>
      </c>
      <c r="X8" s="31" t="s">
        <v>126</v>
      </c>
      <c r="Y8" s="39"/>
    </row>
    <row r="9" spans="1:25" x14ac:dyDescent="0.25">
      <c r="A9" s="39"/>
      <c r="B9" s="5" t="s">
        <v>3</v>
      </c>
      <c r="C9" s="10"/>
      <c r="D9" s="58"/>
      <c r="E9" s="27" t="s">
        <v>3</v>
      </c>
      <c r="F9" s="28" t="str">
        <f>IF(C9&gt;0,0.151*C9-18.615,"")</f>
        <v/>
      </c>
      <c r="G9" s="12" t="str">
        <f t="shared" si="0"/>
        <v/>
      </c>
      <c r="H9" s="13" t="str" cm="1">
        <f t="array" ref="H9">_xlfn.IFS(F9="","",F9&lt;-2.94,"F",AND(F9&gt;=-2.94,F9&lt;-1.73),"pF",AND(F9&gt;=-1.73,F9&lt;1.73),"ND",AND(F9&gt;=1.73,F9&lt;2.94),"pM",F9&gt;2.94,"M")</f>
        <v/>
      </c>
      <c r="I9" s="14" t="str" cm="1">
        <f t="array" ref="I9">_xlfn.IFS(F9="","",F9&lt;0,"F",F9=0,"ND",F9&gt;0,"M")</f>
        <v/>
      </c>
      <c r="J9" s="29" t="s">
        <v>101</v>
      </c>
      <c r="K9" s="45"/>
      <c r="L9" s="30" t="s">
        <v>32</v>
      </c>
      <c r="M9" s="66" t="str">
        <f>IF(AND(C17&gt;0,C19&gt;0),0.337*C17+1.448*C19-63.027,"")</f>
        <v/>
      </c>
      <c r="N9" s="12" t="str">
        <f t="shared" si="1"/>
        <v/>
      </c>
      <c r="O9" s="13" t="str" cm="1">
        <f t="array" ref="O9">_xlfn.IFS(M9="","",M9&lt;-2.94,"F",AND(M9&gt;=-2.94,M9&lt;-1.73),"pF",AND(M9&gt;=-1.73,M9&lt;1.73),"ND",AND(M9&gt;=1.73,M9&lt;2.94),"pM",M9&gt;2.94,"M")</f>
        <v/>
      </c>
      <c r="P9" s="14" t="str" cm="1">
        <f t="array" ref="P9">_xlfn.IFS(M9="","",M9&lt;0,"F",M9=0,"ND",M9&gt;0,"M")</f>
        <v/>
      </c>
      <c r="Q9" s="31" t="s">
        <v>83</v>
      </c>
      <c r="R9" s="45"/>
      <c r="S9" s="30" t="s">
        <v>50</v>
      </c>
      <c r="T9" s="66" t="str">
        <f>IF(AND(C6&gt;0,C12&gt;0,C13&gt;0),0.435*C6+-0.133*C12+0.178*C13-86.243,"")</f>
        <v/>
      </c>
      <c r="U9" s="12" t="str">
        <f t="shared" si="2"/>
        <v/>
      </c>
      <c r="V9" s="13" t="str" cm="1">
        <f t="array" ref="V9">_xlfn.IFS(T9="","",T9&lt;-2.94,"F",AND(T9&gt;=-2.94,T9&lt;-1.73),"pF",AND(T9&gt;=-1.73,T9&lt;1.73),"ND",AND(T9&gt;=1.73,T9&lt;2.94),"pM",T9&gt;2.94,"M")</f>
        <v/>
      </c>
      <c r="W9" s="14" t="str" cm="1">
        <f t="array" ref="W9">_xlfn.IFS(T9="","",T9&lt;0,"F",T9=0,"ND",T9&gt;0,"M")</f>
        <v/>
      </c>
      <c r="X9" s="31" t="s">
        <v>127</v>
      </c>
      <c r="Y9" s="39"/>
    </row>
    <row r="10" spans="1:25" x14ac:dyDescent="0.25">
      <c r="A10" s="39"/>
      <c r="B10" s="5" t="s">
        <v>4</v>
      </c>
      <c r="C10" s="10"/>
      <c r="D10" s="58"/>
      <c r="E10" s="27" t="s">
        <v>4</v>
      </c>
      <c r="F10" s="28" t="str">
        <f>IF(C10&gt;0,0.265*C10-26.342,"")</f>
        <v/>
      </c>
      <c r="G10" s="12" t="str">
        <f t="shared" si="0"/>
        <v/>
      </c>
      <c r="H10" s="13" t="str" cm="1">
        <f t="array" ref="H10">_xlfn.IFS(F10="","",F10&lt;-2.94,"F",AND(F10&gt;=-2.94,F10&lt;-1.73),"pF",AND(F10&gt;=-1.73,F10&lt;1.73),"ND",AND(F10&gt;=1.73,F10&lt;2.94),"pM",F10&gt;2.94,"M")</f>
        <v/>
      </c>
      <c r="I10" s="14" t="str" cm="1">
        <f t="array" ref="I10">_xlfn.IFS(F10="","",F10&lt;0,"F",F10=0,"ND",F10&gt;0,"M")</f>
        <v/>
      </c>
      <c r="J10" s="29" t="s">
        <v>102</v>
      </c>
      <c r="K10" s="45"/>
      <c r="L10" s="30" t="s">
        <v>33</v>
      </c>
      <c r="M10" s="66" t="str">
        <f>IF(AND(C20&gt;0,C22&gt;0),0.312*C20+1.943*C22-32.964,"")</f>
        <v/>
      </c>
      <c r="N10" s="12" t="str">
        <f t="shared" si="1"/>
        <v/>
      </c>
      <c r="O10" s="13" t="str" cm="1">
        <f t="array" ref="O10">_xlfn.IFS(M10="","",M10&lt;-2.94,"F",AND(M10&gt;=-2.94,M10&lt;-1.73),"pF",AND(M10&gt;=-1.73,M10&lt;1.73),"ND",AND(M10&gt;=1.73,M10&lt;2.94),"pM",M10&gt;2.94,"M")</f>
        <v/>
      </c>
      <c r="P10" s="14" t="str" cm="1">
        <f t="array" ref="P10">_xlfn.IFS(M10="","",M10&lt;0,"F",M10=0,"ND",M10&gt;0,"M")</f>
        <v/>
      </c>
      <c r="Q10" s="31" t="s">
        <v>84</v>
      </c>
      <c r="R10" s="45"/>
      <c r="S10" s="30" t="s">
        <v>51</v>
      </c>
      <c r="T10" s="66" t="str">
        <f>IF(AND(C8&gt;0,C15&gt;0),0.208*C8+0.341*C15-43.935,"")</f>
        <v/>
      </c>
      <c r="U10" s="12" t="str">
        <f t="shared" si="2"/>
        <v/>
      </c>
      <c r="V10" s="13" t="str" cm="1">
        <f t="array" ref="V10">_xlfn.IFS(T10="","",T10&lt;-2.94,"F",AND(T10&gt;=-2.94,T10&lt;-1.73),"pF",AND(T10&gt;=-1.73,T10&lt;1.73),"ND",AND(T10&gt;=1.73,T10&lt;2.94),"pM",T10&gt;2.94,"M")</f>
        <v/>
      </c>
      <c r="W10" s="14" t="str" cm="1">
        <f t="array" ref="W10">_xlfn.IFS(T10="","",T10&lt;0,"F",T10=0,"ND",T10&gt;0,"M")</f>
        <v/>
      </c>
      <c r="X10" s="31" t="s">
        <v>128</v>
      </c>
      <c r="Y10" s="39"/>
    </row>
    <row r="11" spans="1:25" x14ac:dyDescent="0.25">
      <c r="A11" s="39"/>
      <c r="B11" s="5" t="s">
        <v>5</v>
      </c>
      <c r="C11" s="10"/>
      <c r="D11" s="58"/>
      <c r="E11" s="27" t="s">
        <v>5</v>
      </c>
      <c r="F11" s="28" t="str">
        <f>IF(C11&gt;0,0.521*C11-63.278,"")</f>
        <v/>
      </c>
      <c r="G11" s="12" t="str">
        <f t="shared" si="0"/>
        <v/>
      </c>
      <c r="H11" s="13" t="str" cm="1">
        <f t="array" ref="H11">_xlfn.IFS(F11="","",F11&lt;-2.94,"F",AND(F11&gt;=-2.94,F11&lt;-1.73),"pF",AND(F11&gt;=-1.73,F11&lt;1.73),"ND",AND(F11&gt;=1.73,F11&lt;2.94),"pM",F11&gt;2.94,"M")</f>
        <v/>
      </c>
      <c r="I11" s="14" t="str" cm="1">
        <f t="array" ref="I11">_xlfn.IFS(F11="","",F11&lt;0,"F",F11=0,"ND",F11&gt;0,"M")</f>
        <v/>
      </c>
      <c r="J11" s="29" t="s">
        <v>103</v>
      </c>
      <c r="K11" s="45"/>
      <c r="L11" s="30" t="s">
        <v>34</v>
      </c>
      <c r="M11" s="66" t="str">
        <f>IF(AND(C18&gt;0,C21&gt;0,C22&gt;0),0.534*C18+-0.282*C21+2.174*C22-26.599,"")</f>
        <v/>
      </c>
      <c r="N11" s="12" t="str">
        <f t="shared" si="1"/>
        <v/>
      </c>
      <c r="O11" s="13" t="str" cm="1">
        <f t="array" ref="O11">_xlfn.IFS(M11="","",M11&lt;-2.94,"F",AND(M11&gt;=-2.94,M11&lt;-1.73),"pF",AND(M11&gt;=-1.73,M11&lt;1.73),"ND",AND(M11&gt;=1.73,M11&lt;2.94),"pM",M11&gt;2.94,"M")</f>
        <v/>
      </c>
      <c r="P11" s="14" t="str" cm="1">
        <f t="array" ref="P11">_xlfn.IFS(M11="","",M11&lt;0,"F",M11=0,"ND",M11&gt;0,"M")</f>
        <v/>
      </c>
      <c r="Q11" s="31" t="s">
        <v>85</v>
      </c>
      <c r="R11" s="45"/>
      <c r="S11" s="30" t="s">
        <v>52</v>
      </c>
      <c r="T11" s="66" t="str">
        <f>IF(AND(C11&gt;0,C12&gt;0,C14&gt;0),11.681*C11+-13.183*C12+14.198*C14-1013.141,"")</f>
        <v/>
      </c>
      <c r="U11" s="12" t="str">
        <f t="shared" si="2"/>
        <v/>
      </c>
      <c r="V11" s="13" t="str" cm="1">
        <f t="array" ref="V11">_xlfn.IFS(T11="","",T11&lt;-2.94,"F",AND(T11&gt;=-2.94,T11&lt;-1.73),"pF",AND(T11&gt;=-1.73,T11&lt;1.73),"ND",AND(T11&gt;=1.73,T11&lt;2.94),"pM",T11&gt;2.94,"M")</f>
        <v/>
      </c>
      <c r="W11" s="14" t="str" cm="1">
        <f t="array" ref="W11">_xlfn.IFS(T11="","",T11&lt;0,"F",T11=0,"ND",T11&gt;0,"M")</f>
        <v/>
      </c>
      <c r="X11" s="31" t="s">
        <v>129</v>
      </c>
      <c r="Y11" s="39"/>
    </row>
    <row r="12" spans="1:25" x14ac:dyDescent="0.25">
      <c r="A12" s="39"/>
      <c r="B12" s="5" t="s">
        <v>6</v>
      </c>
      <c r="C12" s="10"/>
      <c r="D12" s="58"/>
      <c r="E12" s="27" t="s">
        <v>6</v>
      </c>
      <c r="F12" s="28" t="str">
        <f>IF(C12&gt;0,0.104*C12-6.694,"")</f>
        <v/>
      </c>
      <c r="G12" s="12" t="str">
        <f t="shared" si="0"/>
        <v/>
      </c>
      <c r="H12" s="13" t="str" cm="1">
        <f t="array" ref="H12">_xlfn.IFS(F12="","",F12&lt;-2.94,"F",AND(F12&gt;=-2.94,F12&lt;-1.73),"pF",AND(F12&gt;=-1.73,F12&lt;1.73),"ND",AND(F12&gt;=1.73,F12&lt;2.94),"pM",F12&gt;2.94,"M")</f>
        <v/>
      </c>
      <c r="I12" s="14" t="str" cm="1">
        <f t="array" ref="I12">_xlfn.IFS(F12="","",F12&lt;0,"F",F12=0,"ND",F12&gt;0,"M")</f>
        <v/>
      </c>
      <c r="J12" s="29" t="s">
        <v>104</v>
      </c>
      <c r="K12" s="45"/>
      <c r="L12" s="30" t="s">
        <v>35</v>
      </c>
      <c r="M12" s="66" t="str">
        <f>IF(AND(C16&gt;0,C23&gt;0),0.421*C16+1.887*C23-70.769,"")</f>
        <v/>
      </c>
      <c r="N12" s="12" t="str">
        <f t="shared" si="1"/>
        <v/>
      </c>
      <c r="O12" s="13" t="str" cm="1">
        <f t="array" ref="O12">_xlfn.IFS(M12="","",M12&lt;-2.94,"F",AND(M12&gt;=-2.94,M12&lt;-1.73),"pF",AND(M12&gt;=-1.73,M12&lt;1.73),"ND",AND(M12&gt;=1.73,M12&lt;2.94),"pM",M12&gt;2.94,"M")</f>
        <v/>
      </c>
      <c r="P12" s="14" t="str" cm="1">
        <f t="array" ref="P12">_xlfn.IFS(M12="","",M12&lt;0,"F",M12=0,"ND",M12&gt;0,"M")</f>
        <v/>
      </c>
      <c r="Q12" s="31" t="s">
        <v>86</v>
      </c>
      <c r="R12" s="45"/>
      <c r="S12" s="30" t="s">
        <v>53</v>
      </c>
      <c r="T12" s="66" t="str">
        <f>IF(AND(C9&gt;0,C12&gt;0,C15&gt;0),0.3*C9+0.475*C12+0.362*C15-92.499,"")</f>
        <v/>
      </c>
      <c r="U12" s="12" t="str">
        <f t="shared" si="2"/>
        <v/>
      </c>
      <c r="V12" s="13" t="str" cm="1">
        <f t="array" ref="V12">_xlfn.IFS(T12="","",T12&lt;-2.94,"F",AND(T12&gt;=-2.94,T12&lt;-1.73),"pF",AND(T12&gt;=-1.73,T12&lt;1.73),"ND",AND(T12&gt;=1.73,T12&lt;2.94),"pM",T12&gt;2.94,"M")</f>
        <v/>
      </c>
      <c r="W12" s="14" t="str" cm="1">
        <f t="array" ref="W12">_xlfn.IFS(T12="","",T12&lt;0,"F",T12=0,"ND",T12&gt;0,"M")</f>
        <v/>
      </c>
      <c r="X12" s="31" t="s">
        <v>130</v>
      </c>
      <c r="Y12" s="39"/>
    </row>
    <row r="13" spans="1:25" x14ac:dyDescent="0.25">
      <c r="A13" s="39"/>
      <c r="B13" s="5" t="s">
        <v>7</v>
      </c>
      <c r="C13" s="10"/>
      <c r="D13" s="58"/>
      <c r="E13" s="27" t="s">
        <v>7</v>
      </c>
      <c r="F13" s="28" t="str">
        <f>IF(C13&gt;0,0.224*C13-20.085,"")</f>
        <v/>
      </c>
      <c r="G13" s="12" t="str">
        <f t="shared" si="0"/>
        <v/>
      </c>
      <c r="H13" s="13" t="str" cm="1">
        <f t="array" ref="H13">_xlfn.IFS(F13="","",F13&lt;-2.94,"F",AND(F13&gt;=-2.94,F13&lt;-1.73),"pF",AND(F13&gt;=-1.73,F13&lt;1.73),"ND",AND(F13&gt;=1.73,F13&lt;2.94),"pM",F13&gt;2.94,"M")</f>
        <v/>
      </c>
      <c r="I13" s="14" t="str" cm="1">
        <f t="array" ref="I13">_xlfn.IFS(F13="","",F13&lt;0,"F",F13=0,"ND",F13&gt;0,"M")</f>
        <v/>
      </c>
      <c r="J13" s="29" t="s">
        <v>105</v>
      </c>
      <c r="K13" s="45"/>
      <c r="L13" s="30" t="s">
        <v>36</v>
      </c>
      <c r="M13" s="66" t="str">
        <f>IF(AND(C16&gt;0,C18&gt;0,C19&gt;0),-0.562*C16+0.883*C18+1.928*C19-68.753,"")</f>
        <v/>
      </c>
      <c r="N13" s="12" t="str">
        <f t="shared" si="1"/>
        <v/>
      </c>
      <c r="O13" s="13" t="str" cm="1">
        <f t="array" ref="O13">_xlfn.IFS(M13="","",M13&lt;-2.94,"F",AND(M13&gt;=-2.94,M13&lt;-1.73),"pF",AND(M13&gt;=-1.73,M13&lt;1.73),"ND",AND(M13&gt;=1.73,M13&lt;2.94),"pM",M13&gt;2.94,"M")</f>
        <v/>
      </c>
      <c r="P13" s="14" t="str" cm="1">
        <f t="array" ref="P13">_xlfn.IFS(M13="","",M13&lt;0,"F",M13=0,"ND",M13&gt;0,"M")</f>
        <v/>
      </c>
      <c r="Q13" s="31" t="s">
        <v>87</v>
      </c>
      <c r="R13" s="45"/>
      <c r="S13" s="30" t="s">
        <v>54</v>
      </c>
      <c r="T13" s="66" t="str">
        <f>IF(AND(C6&gt;0,C9&gt;0,C13&gt;0),0.495*C6+-0.028*C9+0.396*C13-122.001,"")</f>
        <v/>
      </c>
      <c r="U13" s="12" t="str">
        <f t="shared" si="2"/>
        <v/>
      </c>
      <c r="V13" s="13" t="str" cm="1">
        <f t="array" ref="V13">_xlfn.IFS(T13="","",T13&lt;-2.94,"F",AND(T13&gt;=-2.94,T13&lt;-1.73),"pF",AND(T13&gt;=-1.73,T13&lt;1.73),"ND",AND(T13&gt;=1.73,T13&lt;2.94),"pM",T13&gt;2.94,"M")</f>
        <v/>
      </c>
      <c r="W13" s="14" t="str" cm="1">
        <f t="array" ref="W13">_xlfn.IFS(T13="","",T13&lt;0,"F",T13=0,"ND",T13&gt;0,"M")</f>
        <v/>
      </c>
      <c r="X13" s="31" t="s">
        <v>131</v>
      </c>
      <c r="Y13" s="39"/>
    </row>
    <row r="14" spans="1:25" ht="14.25" thickBot="1" x14ac:dyDescent="0.3">
      <c r="A14" s="39"/>
      <c r="B14" s="5" t="s">
        <v>8</v>
      </c>
      <c r="C14" s="10"/>
      <c r="D14" s="58"/>
      <c r="E14" s="27" t="s">
        <v>8</v>
      </c>
      <c r="F14" s="28" t="str">
        <f>IF(C14&gt;0,0.251*C14-7.353,"")</f>
        <v/>
      </c>
      <c r="G14" s="12" t="str">
        <f t="shared" si="0"/>
        <v/>
      </c>
      <c r="H14" s="13" t="str" cm="1">
        <f t="array" ref="H14">_xlfn.IFS(F14="","",F14&lt;-2.94,"F",AND(F14&gt;=-2.94,F14&lt;-1.73),"pF",AND(F14&gt;=-1.73,F14&lt;1.73),"ND",AND(F14&gt;=1.73,F14&lt;2.94),"pM",F14&gt;2.94,"M")</f>
        <v/>
      </c>
      <c r="I14" s="14" t="str" cm="1">
        <f t="array" ref="I14">_xlfn.IFS(F14="","",F14&lt;0,"F",F14=0,"ND",F14&gt;0,"M")</f>
        <v/>
      </c>
      <c r="J14" s="29" t="s">
        <v>106</v>
      </c>
      <c r="K14" s="45"/>
      <c r="L14" s="32" t="s">
        <v>37</v>
      </c>
      <c r="M14" s="33" t="str">
        <f>IF(AND(C19&gt;0,C21&gt;0,C22&gt;0),1.07*C19+-0.64*C21+1.906*C22-51.735,"")</f>
        <v/>
      </c>
      <c r="N14" s="15" t="str">
        <f t="shared" si="1"/>
        <v/>
      </c>
      <c r="O14" s="16" t="str" cm="1">
        <f t="array" ref="O14">_xlfn.IFS(M14="","",M14&lt;-2.94,"F",AND(M14&gt;=-2.94,M14&lt;-1.73),"pF",AND(M14&gt;=-1.73,M14&lt;1.73),"ND",AND(M14&gt;=1.73,M14&lt;2.94),"pM",M14&gt;2.94,"M")</f>
        <v/>
      </c>
      <c r="P14" s="17" t="str" cm="1">
        <f t="array" ref="P14">_xlfn.IFS(M14="","",M14&lt;0,"F",M14=0,"ND",M14&gt;0,"M")</f>
        <v/>
      </c>
      <c r="Q14" s="34" t="s">
        <v>88</v>
      </c>
      <c r="R14" s="45"/>
      <c r="S14" s="32" t="s">
        <v>55</v>
      </c>
      <c r="T14" s="33" t="str">
        <f>IF(AND(C6&gt;0,C10&gt;0,C13&gt;0),0.294*C6+0.295*C10+0.167*C13-98.322,"")</f>
        <v/>
      </c>
      <c r="U14" s="15" t="str">
        <f t="shared" si="2"/>
        <v/>
      </c>
      <c r="V14" s="16" t="str" cm="1">
        <f t="array" ref="V14">_xlfn.IFS(T14="","",T14&lt;-2.94,"F",AND(T14&gt;=-2.94,T14&lt;-1.73),"pF",AND(T14&gt;=-1.73,T14&lt;1.73),"ND",AND(T14&gt;=1.73,T14&lt;2.94),"pM",T14&gt;2.94,"M")</f>
        <v/>
      </c>
      <c r="W14" s="17" t="str" cm="1">
        <f t="array" ref="W14">_xlfn.IFS(T14="","",T14&lt;0,"F",T14=0,"ND",T14&gt;0,"M")</f>
        <v/>
      </c>
      <c r="X14" s="34" t="s">
        <v>132</v>
      </c>
      <c r="Y14" s="39"/>
    </row>
    <row r="15" spans="1:25" ht="15" thickTop="1" thickBot="1" x14ac:dyDescent="0.3">
      <c r="A15" s="39"/>
      <c r="B15" s="5" t="s">
        <v>9</v>
      </c>
      <c r="C15" s="10"/>
      <c r="D15" s="58"/>
      <c r="E15" s="27" t="s">
        <v>9</v>
      </c>
      <c r="F15" s="28" t="str">
        <f>IF(C15&gt;0,0.184*C15-10.993,"")</f>
        <v/>
      </c>
      <c r="G15" s="12" t="str">
        <f t="shared" si="0"/>
        <v/>
      </c>
      <c r="H15" s="13" t="str" cm="1">
        <f t="array" ref="H15">_xlfn.IFS(F15="","",F15&lt;-2.94,"F",AND(F15&gt;=-2.94,F15&lt;-1.73),"pF",AND(F15&gt;=-1.73,F15&lt;1.73),"ND",AND(F15&gt;=1.73,F15&lt;2.94),"pM",F15&gt;2.94,"M")</f>
        <v/>
      </c>
      <c r="I15" s="14" t="str" cm="1">
        <f t="array" ref="I15">_xlfn.IFS(F15="","",F15&lt;0,"F",F15=0,"ND",F15&gt;0,"M")</f>
        <v/>
      </c>
      <c r="J15" s="29" t="s">
        <v>107</v>
      </c>
      <c r="K15" s="39"/>
      <c r="L15" s="47"/>
      <c r="M15" s="48"/>
      <c r="N15" s="49"/>
      <c r="O15" s="50"/>
      <c r="P15" s="51"/>
      <c r="Q15" s="52"/>
      <c r="R15" s="45"/>
      <c r="S15" s="45"/>
      <c r="T15" s="45"/>
      <c r="U15" s="45"/>
      <c r="V15" s="45"/>
      <c r="W15" s="45"/>
      <c r="X15" s="45"/>
      <c r="Y15" s="39"/>
    </row>
    <row r="16" spans="1:25" ht="15" thickTop="1" thickBot="1" x14ac:dyDescent="0.3">
      <c r="A16" s="39"/>
      <c r="B16" s="5" t="s">
        <v>10</v>
      </c>
      <c r="C16" s="10"/>
      <c r="D16" s="58"/>
      <c r="E16" s="27" t="s">
        <v>10</v>
      </c>
      <c r="F16" s="28" t="str">
        <f>IF(C16&gt;0,0.95*C16-32.304,"")</f>
        <v/>
      </c>
      <c r="G16" s="12" t="str">
        <f t="shared" si="0"/>
        <v/>
      </c>
      <c r="H16" s="13" t="str" cm="1">
        <f t="array" ref="H16">_xlfn.IFS(F16="","",F16&lt;-2.94,"F",AND(F16&gt;=-2.94,F16&lt;-1.73),"pF",AND(F16&gt;=-1.73,F16&lt;1.73),"ND",AND(F16&gt;=1.73,F16&lt;2.94),"pM",F16&gt;2.94,"M")</f>
        <v/>
      </c>
      <c r="I16" s="14" t="str" cm="1">
        <f t="array" ref="I16">_xlfn.IFS(F16="","",F16&lt;0,"F",F16=0,"ND",F16&gt;0,"M")</f>
        <v/>
      </c>
      <c r="J16" s="29" t="s">
        <v>108</v>
      </c>
      <c r="K16" s="45"/>
      <c r="L16" s="73" t="s">
        <v>144</v>
      </c>
      <c r="M16" s="74"/>
      <c r="N16" s="74"/>
      <c r="O16" s="74"/>
      <c r="P16" s="74"/>
      <c r="Q16" s="75"/>
      <c r="R16" s="45"/>
      <c r="S16" s="73" t="s">
        <v>146</v>
      </c>
      <c r="T16" s="74"/>
      <c r="U16" s="74"/>
      <c r="V16" s="74"/>
      <c r="W16" s="74"/>
      <c r="X16" s="75"/>
      <c r="Y16" s="39"/>
    </row>
    <row r="17" spans="1:25" ht="14.25" thickTop="1" x14ac:dyDescent="0.25">
      <c r="A17" s="39"/>
      <c r="B17" s="5" t="s">
        <v>11</v>
      </c>
      <c r="C17" s="10"/>
      <c r="D17" s="58"/>
      <c r="E17" s="27" t="s">
        <v>11</v>
      </c>
      <c r="F17" s="28" t="str">
        <f>IF(C17&gt;0,0.957*C17-18.785,"")</f>
        <v/>
      </c>
      <c r="G17" s="12" t="str">
        <f t="shared" si="0"/>
        <v/>
      </c>
      <c r="H17" s="13" t="str" cm="1">
        <f t="array" ref="H17">_xlfn.IFS(F17="","",F17&lt;-2.94,"F",AND(F17&gt;=-2.94,F17&lt;-1.73),"pF",AND(F17&gt;=-1.73,F17&lt;1.73),"ND",AND(F17&gt;=1.73,F17&lt;2.94),"pM",F17&gt;2.94,"M")</f>
        <v/>
      </c>
      <c r="I17" s="14" t="str" cm="1">
        <f t="array" ref="I17">_xlfn.IFS(F17="","",F17&lt;0,"F",F17=0,"ND",F17&gt;0,"M")</f>
        <v/>
      </c>
      <c r="J17" s="29" t="s">
        <v>109</v>
      </c>
      <c r="K17" s="45"/>
      <c r="L17" s="22" t="s">
        <v>28</v>
      </c>
      <c r="M17" s="23" t="s">
        <v>136</v>
      </c>
      <c r="N17" s="24" t="s">
        <v>138</v>
      </c>
      <c r="O17" s="24" t="s">
        <v>26</v>
      </c>
      <c r="P17" s="24" t="s">
        <v>27</v>
      </c>
      <c r="Q17" s="25" t="s">
        <v>139</v>
      </c>
      <c r="R17" s="45"/>
      <c r="S17" s="26" t="s">
        <v>28</v>
      </c>
      <c r="T17" s="23" t="s">
        <v>136</v>
      </c>
      <c r="U17" s="24" t="s">
        <v>138</v>
      </c>
      <c r="V17" s="24" t="s">
        <v>26</v>
      </c>
      <c r="W17" s="24" t="s">
        <v>27</v>
      </c>
      <c r="X17" s="25" t="s">
        <v>139</v>
      </c>
      <c r="Y17" s="39"/>
    </row>
    <row r="18" spans="1:25" x14ac:dyDescent="0.25">
      <c r="A18" s="39"/>
      <c r="B18" s="5" t="s">
        <v>12</v>
      </c>
      <c r="C18" s="10"/>
      <c r="D18" s="58"/>
      <c r="E18" s="27" t="s">
        <v>12</v>
      </c>
      <c r="F18" s="28" t="str">
        <f>IF(C18&gt;0,1.48*C18-21.941,"")</f>
        <v/>
      </c>
      <c r="G18" s="12" t="str">
        <f t="shared" si="0"/>
        <v/>
      </c>
      <c r="H18" s="13" t="str" cm="1">
        <f t="array" ref="H18">_xlfn.IFS(F18="","",F18&lt;-2.94,"F",AND(F18&gt;=-2.94,F18&lt;-1.73),"pF",AND(F18&gt;=-1.73,F18&lt;1.73),"ND",AND(F18&gt;=1.73,F18&lt;2.94),"pM",F18&gt;2.94,"M")</f>
        <v/>
      </c>
      <c r="I18" s="14" t="str" cm="1">
        <f t="array" ref="I18">_xlfn.IFS(F18="","",F18&lt;0,"F",F18=0,"ND",F18&gt;0,"M")</f>
        <v/>
      </c>
      <c r="J18" s="29" t="s">
        <v>110</v>
      </c>
      <c r="K18" s="45"/>
      <c r="L18" s="30" t="s">
        <v>38</v>
      </c>
      <c r="M18" s="66" t="str">
        <f>IF(AND(C24&gt;0,C31&gt;0),0.144*C24+1.091*C31-114.142,"")</f>
        <v/>
      </c>
      <c r="N18" s="12" t="str">
        <f t="shared" ref="N18:N26" si="3">IF(ISNUMBER(M18),1/(1+EXP(-M18)),"")</f>
        <v/>
      </c>
      <c r="O18" s="13" t="str" cm="1">
        <f t="array" ref="O18">_xlfn.IFS(M18="","",M18&lt;-2.94,"F",AND(M18&gt;=-2.94,M18&lt;-1.73),"pF",AND(M18&gt;=-1.73,M18&lt;1.73),"ND",AND(M18&gt;=1.73,M18&lt;2.94),"pM",M18&gt;2.94,"M")</f>
        <v/>
      </c>
      <c r="P18" s="14" t="str" cm="1">
        <f t="array" ref="P18">_xlfn.IFS(M18="","",M18&lt;0,"F",M18=0,"ND",M18&gt;0,"M")</f>
        <v/>
      </c>
      <c r="Q18" s="31" t="s">
        <v>89</v>
      </c>
      <c r="R18" s="45"/>
      <c r="S18" s="30" t="s">
        <v>56</v>
      </c>
      <c r="T18" s="66" t="str">
        <f>IF(AND(C7&gt;0,C31&gt;0),0.116*C7 + 11.381*C31 - 567.377,"")</f>
        <v/>
      </c>
      <c r="U18" s="12" t="str">
        <f t="shared" ref="U18:U29" si="4">IF(ISNUMBER(T18),1/(1+EXP(-T18)),"")</f>
        <v/>
      </c>
      <c r="V18" s="13" t="str" cm="1">
        <f t="array" ref="V18">_xlfn.IFS(T18="","",T18&lt;-2.94,"F",AND(T18&gt;=-2.94,T18&lt;-1.73),"pF",AND(T18&gt;=-1.73,T18&lt;1.73),"ND",AND(T18&gt;=1.73,T18&lt;2.94),"pM",T18&gt;2.94,"M")</f>
        <v/>
      </c>
      <c r="W18" s="14" t="str" cm="1">
        <f t="array" ref="W18">_xlfn.IFS(T18="","",T18&lt;0,"F",T18=0,"ND",T18&gt;0,"M")</f>
        <v/>
      </c>
      <c r="X18" s="31" t="s">
        <v>68</v>
      </c>
      <c r="Y18" s="39"/>
    </row>
    <row r="19" spans="1:25" x14ac:dyDescent="0.25">
      <c r="A19" s="39"/>
      <c r="B19" s="5" t="s">
        <v>13</v>
      </c>
      <c r="C19" s="10"/>
      <c r="D19" s="58"/>
      <c r="E19" s="27" t="s">
        <v>13</v>
      </c>
      <c r="F19" s="28" t="str">
        <f>IF(C19&gt;0,1.439*C19-56.202,"")</f>
        <v/>
      </c>
      <c r="G19" s="12" t="str">
        <f t="shared" si="0"/>
        <v/>
      </c>
      <c r="H19" s="13" t="str" cm="1">
        <f t="array" ref="H19">_xlfn.IFS(F19="","",F19&lt;-2.94,"F",AND(F19&gt;=-2.94,F19&lt;-1.73),"pF",AND(F19&gt;=-1.73,F19&lt;1.73),"ND",AND(F19&gt;=1.73,F19&lt;2.94),"pM",F19&gt;2.94,"M")</f>
        <v/>
      </c>
      <c r="I19" s="14" t="str" cm="1">
        <f t="array" ref="I19">_xlfn.IFS(F19="","",F19&lt;0,"F",F19=0,"ND",F19&gt;0,"M")</f>
        <v/>
      </c>
      <c r="J19" s="29" t="s">
        <v>111</v>
      </c>
      <c r="K19" s="45"/>
      <c r="L19" s="30" t="s">
        <v>39</v>
      </c>
      <c r="M19" s="66" t="str">
        <f>IF(AND(C28&gt;0,C31&gt;0),0.105*C28+0.667*C31-69.558,"")</f>
        <v/>
      </c>
      <c r="N19" s="12" t="str">
        <f t="shared" si="3"/>
        <v/>
      </c>
      <c r="O19" s="13" t="str" cm="1">
        <f t="array" ref="O19">_xlfn.IFS(M19="","",M19&lt;-2.94,"F",AND(M19&gt;=-2.94,M19&lt;-1.73),"pF",AND(M19&gt;=-1.73,M19&lt;1.73),"ND",AND(M19&gt;=1.73,M19&lt;2.94),"pM",M19&gt;2.94,"M")</f>
        <v/>
      </c>
      <c r="P19" s="14" t="str" cm="1">
        <f t="array" ref="P19">_xlfn.IFS(M19="","",M19&lt;0,"F",M19=0,"ND",M19&gt;0,"M")</f>
        <v/>
      </c>
      <c r="Q19" s="31" t="s">
        <v>90</v>
      </c>
      <c r="R19" s="45"/>
      <c r="S19" s="30" t="s">
        <v>57</v>
      </c>
      <c r="T19" s="66" t="str">
        <f>IF(AND(C8&gt;0,C31&gt;0),0.112*C8 + 16.278*C31 - 809.136,"")</f>
        <v/>
      </c>
      <c r="U19" s="12" t="str">
        <f t="shared" si="4"/>
        <v/>
      </c>
      <c r="V19" s="13" t="str" cm="1">
        <f t="array" ref="V19">_xlfn.IFS(T19="","",T19&lt;-2.94,"F",AND(T19&gt;=-2.94,T19&lt;-1.73),"pF",AND(T19&gt;=-1.73,T19&lt;1.73),"ND",AND(T19&gt;=1.73,T19&lt;2.94),"pM",T19&gt;2.94,"M")</f>
        <v/>
      </c>
      <c r="W19" s="14" t="str" cm="1">
        <f t="array" ref="W19">_xlfn.IFS(T19="","",T19&lt;0,"F",T19=0,"ND",T19&gt;0,"M")</f>
        <v/>
      </c>
      <c r="X19" s="31" t="s">
        <v>69</v>
      </c>
      <c r="Y19" s="39"/>
    </row>
    <row r="20" spans="1:25" x14ac:dyDescent="0.25">
      <c r="A20" s="39"/>
      <c r="B20" s="5" t="s">
        <v>14</v>
      </c>
      <c r="C20" s="10"/>
      <c r="D20" s="58"/>
      <c r="E20" s="27" t="s">
        <v>14</v>
      </c>
      <c r="F20" s="28" t="str">
        <f>IF(C20&gt;0,0.716*C20-29.371,"")</f>
        <v/>
      </c>
      <c r="G20" s="12" t="str">
        <f t="shared" si="0"/>
        <v/>
      </c>
      <c r="H20" s="13" t="str" cm="1">
        <f t="array" ref="H20">_xlfn.IFS(F20="","",F20&lt;-2.94,"F",AND(F20&gt;=-2.94,F20&lt;-1.73),"pF",AND(F20&gt;=-1.73,F20&lt;1.73),"ND",AND(F20&gt;=1.73,F20&lt;2.94),"pM",F20&gt;2.94,"M")</f>
        <v/>
      </c>
      <c r="I20" s="14" t="str" cm="1">
        <f t="array" ref="I20">_xlfn.IFS(F20="","",F20&lt;0,"F",F20=0,"ND",F20&gt;0,"M")</f>
        <v/>
      </c>
      <c r="J20" s="29" t="s">
        <v>112</v>
      </c>
      <c r="K20" s="45"/>
      <c r="L20" s="30" t="s">
        <v>40</v>
      </c>
      <c r="M20" s="66" t="str">
        <f>IF(AND(C25&gt;0,C26&gt;0),0.263*C25+1.124*C26-54.747,"")</f>
        <v/>
      </c>
      <c r="N20" s="12" t="str">
        <f t="shared" si="3"/>
        <v/>
      </c>
      <c r="O20" s="13" t="str" cm="1">
        <f t="array" ref="O20">_xlfn.IFS(M20="","",M20&lt;-2.94,"F",AND(M20&gt;=-2.94,M20&lt;-1.73),"pF",AND(M20&gt;=-1.73,M20&lt;1.73),"ND",AND(M20&gt;=1.73,M20&lt;2.94),"pM",M20&gt;2.94,"M")</f>
        <v/>
      </c>
      <c r="P20" s="14" t="str" cm="1">
        <f t="array" ref="P20">_xlfn.IFS(M20="","",M20&lt;0,"F",M20=0,"ND",M20&gt;0,"M")</f>
        <v/>
      </c>
      <c r="Q20" s="31" t="s">
        <v>91</v>
      </c>
      <c r="R20" s="45"/>
      <c r="S20" s="30" t="s">
        <v>58</v>
      </c>
      <c r="T20" s="66" t="str">
        <f>IF(AND(C6&gt;0,C31&gt;0),17.637*C6 + 139.564*C31 - 9983.487,"")</f>
        <v/>
      </c>
      <c r="U20" s="12" t="str">
        <f t="shared" si="4"/>
        <v/>
      </c>
      <c r="V20" s="13" t="str" cm="1">
        <f t="array" ref="V20">_xlfn.IFS(T20="","",T20&lt;-2.94,"F",AND(T20&gt;=-2.94,T20&lt;-1.73),"pF",AND(T20&gt;=-1.73,T20&lt;1.73),"ND",AND(T20&gt;=1.73,T20&lt;2.94),"pM",T20&gt;2.94,"M")</f>
        <v/>
      </c>
      <c r="W20" s="14" t="str" cm="1">
        <f t="array" ref="W20">_xlfn.IFS(T20="","",T20&lt;0,"F",T20=0,"ND",T20&gt;0,"M")</f>
        <v/>
      </c>
      <c r="X20" s="31" t="s">
        <v>70</v>
      </c>
      <c r="Y20" s="39"/>
    </row>
    <row r="21" spans="1:25" x14ac:dyDescent="0.25">
      <c r="A21" s="39"/>
      <c r="B21" s="5" t="s">
        <v>15</v>
      </c>
      <c r="C21" s="10"/>
      <c r="D21" s="58"/>
      <c r="E21" s="27" t="s">
        <v>15</v>
      </c>
      <c r="F21" s="28" t="str">
        <f>IF(C21&gt;0,1.172*C21-16.304,"")</f>
        <v/>
      </c>
      <c r="G21" s="12" t="str">
        <f t="shared" si="0"/>
        <v/>
      </c>
      <c r="H21" s="13" t="str" cm="1">
        <f t="array" ref="H21">_xlfn.IFS(F21="","",F21&lt;-2.94,"F",AND(F21&gt;=-2.94,F21&lt;-1.73),"pF",AND(F21&gt;=-1.73,F21&lt;1.73),"ND",AND(F21&gt;=1.73,F21&lt;2.94),"pM",F21&gt;2.94,"M")</f>
        <v/>
      </c>
      <c r="I21" s="14" t="str" cm="1">
        <f t="array" ref="I21">_xlfn.IFS(F21="","",F21&lt;0,"F",F21=0,"ND",F21&gt;0,"M")</f>
        <v/>
      </c>
      <c r="J21" s="29" t="s">
        <v>113</v>
      </c>
      <c r="K21" s="45"/>
      <c r="L21" s="30" t="s">
        <v>41</v>
      </c>
      <c r="M21" s="66" t="str">
        <f>IF(AND(C26&gt;0,C31&gt;0),0.88*C26+0.743*C31-72.77,"")</f>
        <v/>
      </c>
      <c r="N21" s="12" t="str">
        <f t="shared" si="3"/>
        <v/>
      </c>
      <c r="O21" s="13" t="str" cm="1">
        <f t="array" ref="O21">_xlfn.IFS(M21="","",M21&lt;-2.94,"F",AND(M21&gt;=-2.94,M21&lt;-1.73),"pF",AND(M21&gt;=-1.73,M21&lt;1.73),"ND",AND(M21&gt;=1.73,M21&lt;2.94),"pM",M21&gt;2.94,"M")</f>
        <v/>
      </c>
      <c r="P21" s="14" t="str" cm="1">
        <f t="array" ref="P21">_xlfn.IFS(M21="","",M21&lt;0,"F",M21=0,"ND",M21&gt;0,"M")</f>
        <v/>
      </c>
      <c r="Q21" s="31" t="s">
        <v>92</v>
      </c>
      <c r="R21" s="45"/>
      <c r="S21" s="30" t="s">
        <v>59</v>
      </c>
      <c r="T21" s="66" t="str">
        <f>IF(AND(C10&gt;0,C31&gt;0),5.852*C10 + 27.325*C31 - 1921.511,"")</f>
        <v/>
      </c>
      <c r="U21" s="12" t="str">
        <f t="shared" si="4"/>
        <v/>
      </c>
      <c r="V21" s="13" t="str" cm="1">
        <f t="array" ref="V21">_xlfn.IFS(T21="","",T21&lt;-2.94,"F",AND(T21&gt;=-2.94,T21&lt;-1.73),"pF",AND(T21&gt;=-1.73,T21&lt;1.73),"ND",AND(T21&gt;=1.73,T21&lt;2.94),"pM",T21&gt;2.94,"M")</f>
        <v/>
      </c>
      <c r="W21" s="14" t="str" cm="1">
        <f t="array" ref="W21">_xlfn.IFS(T21="","",T21&lt;0,"F",T21=0,"ND",T21&gt;0,"M")</f>
        <v/>
      </c>
      <c r="X21" s="31" t="s">
        <v>71</v>
      </c>
      <c r="Y21" s="39"/>
    </row>
    <row r="22" spans="1:25" x14ac:dyDescent="0.25">
      <c r="A22" s="39"/>
      <c r="B22" s="5" t="s">
        <v>16</v>
      </c>
      <c r="C22" s="10"/>
      <c r="D22" s="58"/>
      <c r="E22" s="27" t="s">
        <v>16</v>
      </c>
      <c r="F22" s="28" t="str">
        <f>IF(C22&gt;0,2.876*C22-29.802,"")</f>
        <v/>
      </c>
      <c r="G22" s="12" t="str">
        <f t="shared" si="0"/>
        <v/>
      </c>
      <c r="H22" s="13" t="str" cm="1">
        <f t="array" ref="H22">_xlfn.IFS(F22="","",F22&lt;-2.94,"F",AND(F22&gt;=-2.94,F22&lt;-1.73),"pF",AND(F22&gt;=-1.73,F22&lt;1.73),"ND",AND(F22&gt;=1.73,F22&lt;2.94),"pM",F22&gt;2.94,"M")</f>
        <v/>
      </c>
      <c r="I22" s="14" t="str" cm="1">
        <f t="array" ref="I22">_xlfn.IFS(F22="","",F22&lt;0,"F",F22=0,"ND",F22&gt;0,"M")</f>
        <v/>
      </c>
      <c r="J22" s="29" t="s">
        <v>114</v>
      </c>
      <c r="K22" s="45"/>
      <c r="L22" s="30" t="s">
        <v>42</v>
      </c>
      <c r="M22" s="66" t="str">
        <f>IF(AND(C25&gt;0,C28&gt;0,C31&gt;0),2.671*C25+-0.076*C28+2.828*C31-181.265,"")</f>
        <v/>
      </c>
      <c r="N22" s="12" t="str">
        <f t="shared" si="3"/>
        <v/>
      </c>
      <c r="O22" s="13" t="str" cm="1">
        <f t="array" ref="O22">_xlfn.IFS(M22="","",M22&lt;-2.94,"F",AND(M22&gt;=-2.94,M22&lt;-1.73),"pF",AND(M22&gt;=-1.73,M22&lt;1.73),"ND",AND(M22&gt;=1.73,M22&lt;2.94),"pM",M22&gt;2.94,"M")</f>
        <v/>
      </c>
      <c r="P22" s="14" t="str" cm="1">
        <f t="array" ref="P22">_xlfn.IFS(M22="","",M22&lt;0,"F",M22=0,"ND",M22&gt;0,"M")</f>
        <v/>
      </c>
      <c r="Q22" s="31" t="s">
        <v>93</v>
      </c>
      <c r="R22" s="45"/>
      <c r="S22" s="30" t="s">
        <v>60</v>
      </c>
      <c r="T22" s="66" t="str">
        <f>IF(AND(C10&gt;0,C18&gt;0,C31&gt;0),4.959*C10 - 4.451*C18+18.158*C31 - 1316.058,"")</f>
        <v/>
      </c>
      <c r="U22" s="12" t="str">
        <f t="shared" si="4"/>
        <v/>
      </c>
      <c r="V22" s="13" t="str" cm="1">
        <f t="array" ref="V22">_xlfn.IFS(T22="","",T22&lt;-2.94,"F",AND(T22&gt;=-2.94,T22&lt;-1.73),"pF",AND(T22&gt;=-1.73,T22&lt;1.73),"ND",AND(T22&gt;=1.73,T22&lt;2.94),"pM",T22&gt;2.94,"M")</f>
        <v/>
      </c>
      <c r="W22" s="14" t="str" cm="1">
        <f t="array" ref="W22">_xlfn.IFS(T22="","",T22&lt;0,"F",T22=0,"ND",T22&gt;0,"M")</f>
        <v/>
      </c>
      <c r="X22" s="31" t="s">
        <v>72</v>
      </c>
      <c r="Y22" s="39"/>
    </row>
    <row r="23" spans="1:25" x14ac:dyDescent="0.25">
      <c r="A23" s="39"/>
      <c r="B23" s="5" t="s">
        <v>17</v>
      </c>
      <c r="C23" s="10"/>
      <c r="D23" s="58"/>
      <c r="E23" s="27" t="s">
        <v>17</v>
      </c>
      <c r="F23" s="28" t="str">
        <f>IF(C23&gt;0,0.913*C23-27.823,"")</f>
        <v/>
      </c>
      <c r="G23" s="12" t="str">
        <f t="shared" si="0"/>
        <v/>
      </c>
      <c r="H23" s="13" t="str" cm="1">
        <f t="array" ref="H23">_xlfn.IFS(F23="","",F23&lt;-2.94,"F",AND(F23&gt;=-2.94,F23&lt;-1.73),"pF",AND(F23&gt;=-1.73,F23&lt;1.73),"ND",AND(F23&gt;=1.73,F23&lt;2.94),"pM",F23&gt;2.94,"M")</f>
        <v/>
      </c>
      <c r="I23" s="14" t="str" cm="1">
        <f t="array" ref="I23">_xlfn.IFS(F23="","",F23&lt;0,"F",F23=0,"ND",F23&gt;0,"M")</f>
        <v/>
      </c>
      <c r="J23" s="29" t="s">
        <v>115</v>
      </c>
      <c r="K23" s="45"/>
      <c r="L23" s="30" t="s">
        <v>43</v>
      </c>
      <c r="M23" s="66" t="str">
        <f>IF(AND(C25&gt;0,C30&gt;0,C31&gt;0),1.283*C25+0.299*C30+1.162*C31-97.447,"")</f>
        <v/>
      </c>
      <c r="N23" s="12" t="str">
        <f t="shared" si="3"/>
        <v/>
      </c>
      <c r="O23" s="13" t="str" cm="1">
        <f t="array" ref="O23">_xlfn.IFS(M23="","",M23&lt;-2.94,"F",AND(M23&gt;=-2.94,M23&lt;-1.73),"pF",AND(M23&gt;=-1.73,M23&lt;1.73),"ND",AND(M23&gt;=1.73,M23&lt;2.94),"pM",M23&gt;2.94,"M")</f>
        <v/>
      </c>
      <c r="P23" s="14" t="str" cm="1">
        <f t="array" ref="P23">_xlfn.IFS(M23="","",M23&lt;0,"F",M23=0,"ND",M23&gt;0,"M")</f>
        <v/>
      </c>
      <c r="Q23" s="31" t="s">
        <v>94</v>
      </c>
      <c r="R23" s="45"/>
      <c r="S23" s="30" t="s">
        <v>61</v>
      </c>
      <c r="T23" s="66" t="str">
        <f>IF(AND(C10&gt;0,C17&gt;0,C31&gt;0),4.241*C10 + 2.531*C17 + 17.606*C31 - 1339.822,"")</f>
        <v/>
      </c>
      <c r="U23" s="12" t="str">
        <f t="shared" si="4"/>
        <v/>
      </c>
      <c r="V23" s="13" t="str" cm="1">
        <f t="array" ref="V23">_xlfn.IFS(T23="","",T23&lt;-2.94,"F",AND(T23&gt;=-2.94,T23&lt;-1.73),"pF",AND(T23&gt;=-1.73,T23&lt;1.73),"ND",AND(T23&gt;=1.73,T23&lt;2.94),"pM",T23&gt;2.94,"M")</f>
        <v/>
      </c>
      <c r="W23" s="14" t="str" cm="1">
        <f t="array" ref="W23">_xlfn.IFS(T23="","",T23&lt;0,"F",T23=0,"ND",T23&gt;0,"M")</f>
        <v/>
      </c>
      <c r="X23" s="31" t="s">
        <v>73</v>
      </c>
      <c r="Y23" s="39"/>
    </row>
    <row r="24" spans="1:25" x14ac:dyDescent="0.25">
      <c r="A24" s="39"/>
      <c r="B24" s="5" t="s">
        <v>18</v>
      </c>
      <c r="C24" s="10"/>
      <c r="D24" s="58"/>
      <c r="E24" s="27" t="s">
        <v>18</v>
      </c>
      <c r="F24" s="28" t="str">
        <f>IF(C24&gt;0,0.106*C24-45.532,"")</f>
        <v/>
      </c>
      <c r="G24" s="12" t="str">
        <f t="shared" si="0"/>
        <v/>
      </c>
      <c r="H24" s="13" t="str" cm="1">
        <f t="array" ref="H24">_xlfn.IFS(F24="","",F24&lt;-2.94,"F",AND(F24&gt;=-2.94,F24&lt;-1.73),"pF",AND(F24&gt;=-1.73,F24&lt;1.73),"ND",AND(F24&gt;=1.73,F24&lt;2.94),"pM",F24&gt;2.94,"M")</f>
        <v/>
      </c>
      <c r="I24" s="14" t="str" cm="1">
        <f t="array" ref="I24">_xlfn.IFS(F24="","",F24&lt;0,"F",F24=0,"ND",F24&gt;0,"M")</f>
        <v/>
      </c>
      <c r="J24" s="29" t="s">
        <v>116</v>
      </c>
      <c r="K24" s="45"/>
      <c r="L24" s="30" t="s">
        <v>44</v>
      </c>
      <c r="M24" s="66" t="str">
        <f>IF(AND(C26&gt;0,C29&gt;0,C31&gt;0),0.491*C26+0.698*C29+0.509*C31-67.745,"")</f>
        <v/>
      </c>
      <c r="N24" s="12" t="str">
        <f t="shared" si="3"/>
        <v/>
      </c>
      <c r="O24" s="13" t="str" cm="1">
        <f t="array" ref="O24">_xlfn.IFS(M24="","",M24&lt;-2.94,"F",AND(M24&gt;=-2.94,M24&lt;-1.73),"pF",AND(M24&gt;=-1.73,M24&lt;1.73),"ND",AND(M24&gt;=1.73,M24&lt;2.94),"pM",M24&gt;2.94,"M")</f>
        <v/>
      </c>
      <c r="P24" s="14" t="str" cm="1">
        <f t="array" ref="P24">_xlfn.IFS(M24="","",M24&lt;0,"F",M24=0,"ND",M24&gt;0,"M")</f>
        <v/>
      </c>
      <c r="Q24" s="31" t="s">
        <v>95</v>
      </c>
      <c r="R24" s="45"/>
      <c r="S24" s="30" t="s">
        <v>62</v>
      </c>
      <c r="T24" s="66" t="str">
        <f>IF(AND(C17&gt;0,C25&gt;0,C26&gt;0),0.49*C17 + 0.227*C25 + 1.102*C26 - 62.821,"")</f>
        <v/>
      </c>
      <c r="U24" s="12" t="str">
        <f t="shared" si="4"/>
        <v/>
      </c>
      <c r="V24" s="13" t="str" cm="1">
        <f t="array" ref="V24">_xlfn.IFS(T24="","",T24&lt;-2.94,"F",AND(T24&gt;=-2.94,T24&lt;-1.73),"pF",AND(T24&gt;=-1.73,T24&lt;1.73),"ND",AND(T24&gt;=1.73,T24&lt;2.94),"pM",T24&gt;2.94,"M")</f>
        <v/>
      </c>
      <c r="W24" s="14" t="str" cm="1">
        <f t="array" ref="W24">_xlfn.IFS(T24="","",T24&lt;0,"F",T24=0,"ND",T24&gt;0,"M")</f>
        <v/>
      </c>
      <c r="X24" s="31" t="s">
        <v>74</v>
      </c>
      <c r="Y24" s="39"/>
    </row>
    <row r="25" spans="1:25" x14ac:dyDescent="0.25">
      <c r="A25" s="39"/>
      <c r="B25" s="5" t="s">
        <v>19</v>
      </c>
      <c r="C25" s="10"/>
      <c r="D25" s="58"/>
      <c r="E25" s="27" t="s">
        <v>19</v>
      </c>
      <c r="F25" s="28" t="str">
        <f>IF(C25&gt;0,0.766*C25-20.538,"")</f>
        <v/>
      </c>
      <c r="G25" s="12" t="str">
        <f t="shared" si="0"/>
        <v/>
      </c>
      <c r="H25" s="13" t="str" cm="1">
        <f t="array" ref="H25">_xlfn.IFS(F25="","",F25&lt;-2.94,"F",AND(F25&gt;=-2.94,F25&lt;-1.73),"pF",AND(F25&gt;=-1.73,F25&lt;1.73),"ND",AND(F25&gt;=1.73,F25&lt;2.94),"pM",F25&gt;2.94,"M")</f>
        <v/>
      </c>
      <c r="I25" s="14" t="str" cm="1">
        <f t="array" ref="I25">_xlfn.IFS(F25="","",F25&lt;0,"F",F25=0,"ND",F25&gt;0,"M")</f>
        <v/>
      </c>
      <c r="J25" s="29" t="s">
        <v>117</v>
      </c>
      <c r="K25" s="45"/>
      <c r="L25" s="30" t="s">
        <v>45</v>
      </c>
      <c r="M25" s="66" t="str">
        <f>IF(AND(C25&gt;0,C31&gt;0),1.084*C25+1.211*C31-88.404,"")</f>
        <v/>
      </c>
      <c r="N25" s="12" t="str">
        <f t="shared" si="3"/>
        <v/>
      </c>
      <c r="O25" s="13" t="str" cm="1">
        <f t="array" ref="O25">_xlfn.IFS(M25="","",M25&lt;-2.94,"F",AND(M25&gt;=-2.94,M25&lt;-1.73),"pF",AND(M25&gt;=-1.73,M25&lt;1.73),"ND",AND(M25&gt;=1.73,M25&lt;2.94),"pM",M25&gt;2.94,"M")</f>
        <v/>
      </c>
      <c r="P25" s="14" t="str" cm="1">
        <f t="array" ref="P25">_xlfn.IFS(M25="","",M25&lt;0,"F",M25=0,"ND",M25&gt;0,"M")</f>
        <v/>
      </c>
      <c r="Q25" s="31" t="s">
        <v>96</v>
      </c>
      <c r="R25" s="45"/>
      <c r="S25" s="30" t="s">
        <v>63</v>
      </c>
      <c r="T25" s="66" t="str">
        <f>IF(AND(C6&gt;0,C8&gt;0,C19&gt;0),0.372*C6 + 0.254*C8 + 1.934*C19 - 173.383,"")</f>
        <v/>
      </c>
      <c r="U25" s="12" t="str">
        <f t="shared" si="4"/>
        <v/>
      </c>
      <c r="V25" s="13" t="str" cm="1">
        <f t="array" ref="V25">_xlfn.IFS(T25="","",T25&lt;-2.94,"F",AND(T25&gt;=-2.94,T25&lt;-1.73),"pF",AND(T25&gt;=-1.73,T25&lt;1.73),"ND",AND(T25&gt;=1.73,T25&lt;2.94),"pM",T25&gt;2.94,"M")</f>
        <v/>
      </c>
      <c r="W25" s="14" t="str" cm="1">
        <f t="array" ref="W25">_xlfn.IFS(T25="","",T25&lt;0,"F",T25=0,"ND",T25&gt;0,"M")</f>
        <v/>
      </c>
      <c r="X25" s="31" t="s">
        <v>75</v>
      </c>
      <c r="Y25" s="39"/>
    </row>
    <row r="26" spans="1:25" ht="14.25" thickBot="1" x14ac:dyDescent="0.3">
      <c r="A26" s="39"/>
      <c r="B26" s="5" t="s">
        <v>20</v>
      </c>
      <c r="C26" s="10"/>
      <c r="D26" s="58"/>
      <c r="E26" s="27" t="s">
        <v>20</v>
      </c>
      <c r="F26" s="28" t="str">
        <f>IF(C26&gt;0,1.277*C26-54.07,"")</f>
        <v/>
      </c>
      <c r="G26" s="12" t="str">
        <f t="shared" si="0"/>
        <v/>
      </c>
      <c r="H26" s="13" t="str" cm="1">
        <f t="array" ref="H26">_xlfn.IFS(F26="","",F26&lt;-2.94,"F",AND(F26&gt;=-2.94,F26&lt;-1.73),"pF",AND(F26&gt;=-1.73,F26&lt;1.73),"ND",AND(F26&gt;=1.73,F26&lt;2.94),"pM",F26&gt;2.94,"M")</f>
        <v/>
      </c>
      <c r="I26" s="14" t="str" cm="1">
        <f t="array" ref="I26">_xlfn.IFS(F26="","",F26&lt;0,"F",F26=0,"ND",F26&gt;0,"M")</f>
        <v/>
      </c>
      <c r="J26" s="29" t="s">
        <v>118</v>
      </c>
      <c r="K26" s="45"/>
      <c r="L26" s="32" t="s">
        <v>46</v>
      </c>
      <c r="M26" s="33" t="str">
        <f>IF(AND(C29&gt;0,C31&gt;0),0.859*C29+0.787*C31-65.271,"")</f>
        <v/>
      </c>
      <c r="N26" s="15" t="str">
        <f t="shared" si="3"/>
        <v/>
      </c>
      <c r="O26" s="16" t="str" cm="1">
        <f t="array" ref="O26">_xlfn.IFS(M26="","",M26&lt;-2.94,"F",AND(M26&gt;=-2.94,M26&lt;-1.73),"pF",AND(M26&gt;=-1.73,M26&lt;1.73),"ND",AND(M26&gt;=1.73,M26&lt;2.94),"pM",M26&gt;2.94,"M")</f>
        <v/>
      </c>
      <c r="P26" s="17" t="str" cm="1">
        <f t="array" ref="P26">_xlfn.IFS(M26="","",M26&lt;0,"F",M26=0,"ND",M26&gt;0,"M")</f>
        <v/>
      </c>
      <c r="Q26" s="34" t="s">
        <v>97</v>
      </c>
      <c r="R26" s="45"/>
      <c r="S26" s="30" t="s">
        <v>64</v>
      </c>
      <c r="T26" s="66" t="str">
        <f>IF(AND(C6&gt;0,C23&gt;0,C20&gt;0),0.401*C6 - 0.771*C23 +1.902*C20 - 129.371,"")</f>
        <v/>
      </c>
      <c r="U26" s="12" t="str">
        <f t="shared" si="4"/>
        <v/>
      </c>
      <c r="V26" s="13" t="str" cm="1">
        <f t="array" ref="V26">_xlfn.IFS(T26="","",T26&lt;-2.94,"F",AND(T26&gt;=-2.94,T26&lt;-1.73),"pF",AND(T26&gt;=-1.73,T26&lt;1.73),"ND",AND(T26&gt;=1.73,T26&lt;2.94),"pM",T26&gt;2.94,"M")</f>
        <v/>
      </c>
      <c r="W26" s="14" t="str" cm="1">
        <f t="array" ref="W26">_xlfn.IFS(T26="","",T26&lt;0,"F",T26=0,"ND",T26&gt;0,"M")</f>
        <v/>
      </c>
      <c r="X26" s="31" t="s">
        <v>76</v>
      </c>
      <c r="Y26" s="39"/>
    </row>
    <row r="27" spans="1:25" ht="14.25" thickTop="1" x14ac:dyDescent="0.25">
      <c r="A27" s="39"/>
      <c r="B27" s="5" t="s">
        <v>21</v>
      </c>
      <c r="C27" s="10"/>
      <c r="D27" s="58"/>
      <c r="E27" s="27" t="s">
        <v>21</v>
      </c>
      <c r="F27" s="28" t="str">
        <f>IF(C27&gt;0,1.178*C27-49.568,"")</f>
        <v/>
      </c>
      <c r="G27" s="12" t="str">
        <f t="shared" si="0"/>
        <v/>
      </c>
      <c r="H27" s="13" t="str" cm="1">
        <f t="array" ref="H27">_xlfn.IFS(F27="","",F27&lt;-2.94,"F",AND(F27&gt;=-2.94,F27&lt;-1.73),"pF",AND(F27&gt;=-1.73,F27&lt;1.73),"ND",AND(F27&gt;=1.73,F27&lt;2.94),"pM",F27&gt;2.94,"M")</f>
        <v/>
      </c>
      <c r="I27" s="14" t="str" cm="1">
        <f t="array" ref="I27">_xlfn.IFS(F27="","",F27&lt;0,"F",F27=0,"ND",F27&gt;0,"M")</f>
        <v/>
      </c>
      <c r="J27" s="29" t="s">
        <v>119</v>
      </c>
      <c r="K27" s="45"/>
      <c r="L27" s="45"/>
      <c r="M27" s="45"/>
      <c r="N27" s="45"/>
      <c r="O27" s="45"/>
      <c r="P27" s="45"/>
      <c r="Q27" s="55"/>
      <c r="R27" s="45"/>
      <c r="S27" s="30" t="s">
        <v>65</v>
      </c>
      <c r="T27" s="66" t="str">
        <f>IF(AND(C8&gt;0,C18&gt;0,C28&gt;0),0.323*C8 + 0.989*C18 + 0.147*C28 - 105.691,"")</f>
        <v/>
      </c>
      <c r="U27" s="12" t="str">
        <f t="shared" si="4"/>
        <v/>
      </c>
      <c r="V27" s="13" t="str" cm="1">
        <f t="array" ref="V27">_xlfn.IFS(T27="","",T27&lt;-2.94,"F",AND(T27&gt;=-2.94,T27&lt;-1.73),"pF",AND(T27&gt;=-1.73,T27&lt;1.73),"ND",AND(T27&gt;=1.73,T27&lt;2.94),"pM",T27&gt;2.94,"M")</f>
        <v/>
      </c>
      <c r="W27" s="14" t="str" cm="1">
        <f t="array" ref="W27">_xlfn.IFS(T27="","",T27&lt;0,"F",T27=0,"ND",T27&gt;0,"M")</f>
        <v/>
      </c>
      <c r="X27" s="31" t="s">
        <v>77</v>
      </c>
      <c r="Y27" s="39"/>
    </row>
    <row r="28" spans="1:25" x14ac:dyDescent="0.25">
      <c r="A28" s="39"/>
      <c r="B28" s="5" t="s">
        <v>22</v>
      </c>
      <c r="C28" s="10"/>
      <c r="D28" s="58"/>
      <c r="E28" s="27" t="s">
        <v>22</v>
      </c>
      <c r="F28" s="28" t="str">
        <f>IF(C28&gt;0,0.116*C28-41.733,"")</f>
        <v/>
      </c>
      <c r="G28" s="12" t="str">
        <f t="shared" si="0"/>
        <v/>
      </c>
      <c r="H28" s="13" t="str" cm="1">
        <f t="array" ref="H28">_xlfn.IFS(F28="","",F28&lt;-2.94,"F",AND(F28&gt;=-2.94,F28&lt;-1.73),"pF",AND(F28&gt;=-1.73,F28&lt;1.73),"ND",AND(F28&gt;=1.73,F28&lt;2.94),"pM",F28&gt;2.94,"M")</f>
        <v/>
      </c>
      <c r="I28" s="14" t="str" cm="1">
        <f t="array" ref="I28">_xlfn.IFS(F28="","",F28&lt;0,"F",F28=0,"ND",F28&gt;0,"M")</f>
        <v/>
      </c>
      <c r="J28" s="29" t="s">
        <v>120</v>
      </c>
      <c r="K28" s="45"/>
      <c r="L28" s="45"/>
      <c r="M28" s="45"/>
      <c r="N28" s="45"/>
      <c r="O28" s="45"/>
      <c r="P28" s="45"/>
      <c r="Q28" s="55"/>
      <c r="R28" s="45"/>
      <c r="S28" s="30" t="s">
        <v>66</v>
      </c>
      <c r="T28" s="66" t="str">
        <f>IF(AND(C8&gt;0,C25&gt;0,C26&gt;0),0.275*C8 + 0.735*C25 + 1.285*C26 - 106.902,"")</f>
        <v/>
      </c>
      <c r="U28" s="12" t="str">
        <f t="shared" si="4"/>
        <v/>
      </c>
      <c r="V28" s="13" t="str" cm="1">
        <f t="array" ref="V28">_xlfn.IFS(T28="","",T28&lt;-2.94,"F",AND(T28&gt;=-2.94,T28&lt;-1.73),"pF",AND(T28&gt;=-1.73,T28&lt;1.73),"ND",AND(T28&gt;=1.73,T28&lt;2.94),"pM",T28&gt;2.94,"M")</f>
        <v/>
      </c>
      <c r="W28" s="14" t="str" cm="1">
        <f t="array" ref="W28">_xlfn.IFS(T28="","",T28&lt;0,"F",T28=0,"ND",T28&gt;0,"M")</f>
        <v/>
      </c>
      <c r="X28" s="31" t="s">
        <v>78</v>
      </c>
      <c r="Y28" s="39"/>
    </row>
    <row r="29" spans="1:25" ht="14.25" thickBot="1" x14ac:dyDescent="0.3">
      <c r="A29" s="39"/>
      <c r="B29" s="5" t="s">
        <v>23</v>
      </c>
      <c r="C29" s="10"/>
      <c r="D29" s="58"/>
      <c r="E29" s="27" t="s">
        <v>23</v>
      </c>
      <c r="F29" s="28" t="str">
        <f>IF(C29&gt;0,0.867*C29-27.357,"")</f>
        <v/>
      </c>
      <c r="G29" s="12" t="str">
        <f t="shared" si="0"/>
        <v/>
      </c>
      <c r="H29" s="13" t="str" cm="1">
        <f t="array" ref="H29">_xlfn.IFS(F29="","",F29&lt;-2.94,"F",AND(F29&gt;=-2.94,F29&lt;-1.73),"pF",AND(F29&gt;=-1.73,F29&lt;1.73),"ND",AND(F29&gt;=1.73,F29&lt;2.94),"pM",F29&gt;2.94,"M")</f>
        <v/>
      </c>
      <c r="I29" s="14" t="str" cm="1">
        <f t="array" ref="I29">_xlfn.IFS(F29="","",F29&lt;0,"F",F29=0,"ND",F29&gt;0,"M")</f>
        <v/>
      </c>
      <c r="J29" s="29" t="s">
        <v>121</v>
      </c>
      <c r="K29" s="45"/>
      <c r="L29" s="45"/>
      <c r="M29" s="45"/>
      <c r="N29" s="45"/>
      <c r="O29" s="45"/>
      <c r="P29" s="45"/>
      <c r="Q29" s="55"/>
      <c r="R29" s="45"/>
      <c r="S29" s="32" t="s">
        <v>67</v>
      </c>
      <c r="T29" s="33" t="str">
        <f>IF(AND(C22&gt;0,C27&gt;0,C30&gt;0),7.941*C22 + 2.796*C27 - 1.932*C30 - 160.648,"")</f>
        <v/>
      </c>
      <c r="U29" s="15" t="str">
        <f t="shared" si="4"/>
        <v/>
      </c>
      <c r="V29" s="16" t="str" cm="1">
        <f t="array" ref="V29">_xlfn.IFS(T29="","",T29&lt;-2.94,"F",AND(T29&gt;=-2.94,T29&lt;-1.73),"pF",AND(T29&gt;=-1.73,T29&lt;1.73),"ND",AND(T29&gt;=1.73,T29&lt;2.94),"pM",T29&gt;2.94,"M")</f>
        <v/>
      </c>
      <c r="W29" s="17" t="str" cm="1">
        <f t="array" ref="W29">_xlfn.IFS(T29="","",T29&lt;0,"F",T29=0,"ND",T29&gt;0,"M")</f>
        <v/>
      </c>
      <c r="X29" s="34" t="s">
        <v>79</v>
      </c>
      <c r="Y29" s="39"/>
    </row>
    <row r="30" spans="1:25" ht="14.25" thickTop="1" x14ac:dyDescent="0.25">
      <c r="A30" s="39"/>
      <c r="B30" s="5" t="s">
        <v>24</v>
      </c>
      <c r="C30" s="10"/>
      <c r="D30" s="58"/>
      <c r="E30" s="27" t="s">
        <v>24</v>
      </c>
      <c r="F30" s="28" t="str">
        <f>IF(C30&gt;0,0.751*C30-15.744,"")</f>
        <v/>
      </c>
      <c r="G30" s="12" t="str">
        <f t="shared" si="0"/>
        <v/>
      </c>
      <c r="H30" s="13" t="str" cm="1">
        <f t="array" ref="H30">_xlfn.IFS(F30="","",F30&lt;-2.94,"F",AND(F30&gt;=-2.94,F30&lt;-1.73),"pF",AND(F30&gt;=-1.73,F30&lt;1.73),"ND",AND(F30&gt;=1.73,F30&lt;2.94),"pM",F30&gt;2.94,"M")</f>
        <v/>
      </c>
      <c r="I30" s="14" t="str" cm="1">
        <f t="array" ref="I30">_xlfn.IFS(F30="","",F30&lt;0,"F",F30=0,"ND",F30&gt;0,"M")</f>
        <v/>
      </c>
      <c r="J30" s="29" t="s">
        <v>122</v>
      </c>
      <c r="K30" s="45"/>
      <c r="L30" s="45"/>
      <c r="M30" s="45"/>
      <c r="N30" s="45"/>
      <c r="O30" s="45"/>
      <c r="P30" s="45"/>
      <c r="Q30" s="55"/>
      <c r="R30" s="45"/>
      <c r="S30" s="45"/>
      <c r="T30" s="45"/>
      <c r="U30" s="45"/>
      <c r="V30" s="45"/>
      <c r="W30" s="45"/>
      <c r="X30" s="45"/>
      <c r="Y30" s="39"/>
    </row>
    <row r="31" spans="1:25" ht="14.25" thickBot="1" x14ac:dyDescent="0.3">
      <c r="A31" s="39"/>
      <c r="B31" s="6" t="s">
        <v>25</v>
      </c>
      <c r="C31" s="11"/>
      <c r="D31" s="58"/>
      <c r="E31" s="35" t="s">
        <v>25</v>
      </c>
      <c r="F31" s="36" t="str">
        <f>IF(C31&gt;0,1.193*C31-57.831,"")</f>
        <v/>
      </c>
      <c r="G31" s="15" t="str">
        <f t="shared" si="0"/>
        <v/>
      </c>
      <c r="H31" s="16" t="str" cm="1">
        <f t="array" ref="H31">_xlfn.IFS(F31="","",F31&lt;-2.94,"F",AND(F31&gt;=-2.94,F31&lt;-1.73),"pF",AND(F31&gt;=-1.73,F31&lt;1.73),"ND",AND(F31&gt;=1.73,F31&lt;2.94),"pM",F31&gt;2.94,"M")</f>
        <v/>
      </c>
      <c r="I31" s="17" t="str" cm="1">
        <f t="array" ref="I31">_xlfn.IFS(F31="","",F31&lt;0,"F",F31=0,"ND",F31&gt;0,"M")</f>
        <v/>
      </c>
      <c r="J31" s="37" t="s">
        <v>123</v>
      </c>
      <c r="K31" s="45"/>
      <c r="L31" s="45"/>
      <c r="M31" s="45"/>
      <c r="N31" s="45"/>
      <c r="O31" s="45"/>
      <c r="P31" s="45"/>
      <c r="Q31" s="55"/>
      <c r="R31" s="45"/>
      <c r="S31" s="45"/>
      <c r="T31" s="45"/>
      <c r="U31" s="45"/>
      <c r="V31" s="45"/>
      <c r="W31" s="45"/>
      <c r="X31" s="45"/>
      <c r="Y31" s="39"/>
    </row>
    <row r="32" spans="1:25" ht="14.25" thickTop="1" x14ac:dyDescent="0.25">
      <c r="A32" s="39"/>
      <c r="B32" s="39"/>
      <c r="C32" s="40"/>
      <c r="D32" s="40"/>
      <c r="E32" s="53"/>
      <c r="F32" s="54"/>
      <c r="G32" s="53"/>
      <c r="H32" s="53"/>
      <c r="I32" s="53"/>
      <c r="J32" s="45"/>
      <c r="K32" s="45"/>
      <c r="L32" s="45"/>
      <c r="M32" s="45"/>
      <c r="N32" s="45"/>
      <c r="O32" s="45"/>
      <c r="P32" s="45"/>
      <c r="Q32" s="55"/>
      <c r="R32" s="45"/>
      <c r="S32" s="45"/>
      <c r="T32" s="45"/>
      <c r="U32" s="45"/>
      <c r="V32" s="45"/>
      <c r="W32" s="45"/>
      <c r="X32" s="45"/>
      <c r="Y32" s="39"/>
    </row>
    <row r="33" spans="1:25" x14ac:dyDescent="0.25">
      <c r="A33" s="39"/>
      <c r="B33" s="56" t="s">
        <v>230</v>
      </c>
      <c r="C33" s="40"/>
      <c r="D33" s="40"/>
      <c r="E33" s="40"/>
      <c r="F33" s="41"/>
      <c r="G33" s="40"/>
      <c r="H33" s="40"/>
      <c r="I33" s="40"/>
      <c r="J33" s="39"/>
      <c r="K33" s="39"/>
      <c r="L33" s="39"/>
      <c r="M33" s="39"/>
      <c r="N33" s="39"/>
      <c r="O33" s="39"/>
      <c r="P33" s="39"/>
      <c r="Q33" s="42"/>
      <c r="R33" s="39"/>
      <c r="S33" s="39"/>
      <c r="T33" s="39"/>
      <c r="U33" s="39"/>
      <c r="V33" s="39"/>
      <c r="W33" s="39"/>
      <c r="X33" s="39"/>
      <c r="Y33" s="39"/>
    </row>
    <row r="34" spans="1:25" x14ac:dyDescent="0.25">
      <c r="A34" s="39"/>
      <c r="B34" s="39"/>
      <c r="C34" s="40"/>
      <c r="D34" s="40"/>
      <c r="E34" s="40"/>
      <c r="F34" s="41"/>
      <c r="G34" s="40"/>
      <c r="H34" s="40"/>
      <c r="I34" s="40"/>
      <c r="J34" s="39"/>
      <c r="K34" s="39"/>
      <c r="L34" s="39"/>
      <c r="M34" s="39"/>
      <c r="N34" s="39"/>
      <c r="O34" s="39"/>
      <c r="P34" s="39"/>
      <c r="Q34" s="42"/>
      <c r="R34" s="39"/>
      <c r="S34" s="39"/>
      <c r="T34" s="39"/>
      <c r="U34" s="39"/>
      <c r="V34" s="39"/>
      <c r="W34" s="39"/>
      <c r="X34" s="39"/>
      <c r="Y34" s="39"/>
    </row>
    <row r="35" spans="1:25" x14ac:dyDescent="0.25">
      <c r="M35" s="2"/>
      <c r="N35" s="2"/>
      <c r="O35" s="2"/>
      <c r="P35" s="2"/>
    </row>
    <row r="36" spans="1:25" x14ac:dyDescent="0.25">
      <c r="M36" s="2"/>
      <c r="N36" s="2"/>
      <c r="O36" s="2"/>
      <c r="P36" s="2"/>
    </row>
    <row r="37" spans="1:25" x14ac:dyDescent="0.25">
      <c r="M37" s="2"/>
      <c r="N37" s="2"/>
      <c r="O37" s="2"/>
      <c r="P37" s="2"/>
    </row>
  </sheetData>
  <sheetProtection algorithmName="SHA-512" hashValue="85NekshELZ1qgeCP7eb5gUnVqAmCTuw9vPVA8pq83+9Mv2r2I+78nrE7SVfm28VhSn2dyoWynsR8/6BaQuMQrQ==" saltValue="w9sWTHDxmL/rLg17TfZxgg==" spinCount="100000" sheet="1" objects="1" scenarios="1"/>
  <protectedRanges>
    <protectedRange sqref="C6:C31" name="Input data"/>
  </protectedRanges>
  <mergeCells count="6">
    <mergeCell ref="B4:C4"/>
    <mergeCell ref="E4:J4"/>
    <mergeCell ref="S4:X4"/>
    <mergeCell ref="S16:X16"/>
    <mergeCell ref="L4:Q4"/>
    <mergeCell ref="L16:Q16"/>
  </mergeCells>
  <conditionalFormatting sqref="G6:G31">
    <cfRule type="colorScale" priority="87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H6:H31">
    <cfRule type="containsText" dxfId="122" priority="55" operator="containsText" text="F">
      <formula>NOT(ISERROR(SEARCH("F",H6)))</formula>
    </cfRule>
    <cfRule type="containsText" dxfId="121" priority="54" operator="containsText" text="pF">
      <formula>NOT(ISERROR(SEARCH("pF",H6)))</formula>
    </cfRule>
    <cfRule type="containsText" dxfId="120" priority="58" operator="containsText" text="M">
      <formula>NOT(ISERROR(SEARCH("M",H6)))</formula>
    </cfRule>
    <cfRule type="containsText" dxfId="119" priority="57" operator="containsText" text="pM">
      <formula>NOT(ISERROR(SEARCH("pM",H6)))</formula>
    </cfRule>
    <cfRule type="containsText" dxfId="118" priority="56" operator="containsText" text="ND">
      <formula>NOT(ISERROR(SEARCH("ND",H6)))</formula>
    </cfRule>
  </conditionalFormatting>
  <conditionalFormatting sqref="I6:I31">
    <cfRule type="containsText" dxfId="117" priority="60" operator="containsText" text="M">
      <formula>NOT(ISERROR(SEARCH("M",I6)))</formula>
    </cfRule>
    <cfRule type="containsText" dxfId="116" priority="59" operator="containsText" text="F">
      <formula>NOT(ISERROR(SEARCH("F",I6)))</formula>
    </cfRule>
    <cfRule type="containsText" dxfId="115" priority="53" operator="containsText" text="ND">
      <formula>NOT(ISERROR(SEARCH("ND",I6)))</formula>
    </cfRule>
  </conditionalFormatting>
  <conditionalFormatting sqref="N6:N14">
    <cfRule type="colorScale" priority="79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N15">
    <cfRule type="colorScale" priority="121">
      <colorScale>
        <cfvo type="percent" val="0"/>
        <cfvo type="percentile" val="50"/>
        <cfvo type="percent" val="100"/>
        <color rgb="FFC00000"/>
        <color rgb="FFFFEB84"/>
        <color theme="9" tint="-0.249977111117893"/>
      </colorScale>
    </cfRule>
  </conditionalFormatting>
  <conditionalFormatting sqref="N18:N26">
    <cfRule type="colorScale" priority="73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O6:O14">
    <cfRule type="containsText" dxfId="114" priority="19" operator="containsText" text="pM">
      <formula>NOT(ISERROR(SEARCH("pM",O6)))</formula>
    </cfRule>
    <cfRule type="containsText" dxfId="113" priority="16" operator="containsText" text="pF">
      <formula>NOT(ISERROR(SEARCH("pF",O6)))</formula>
    </cfRule>
    <cfRule type="containsText" dxfId="112" priority="17" operator="containsText" text="F">
      <formula>NOT(ISERROR(SEARCH("F",O6)))</formula>
    </cfRule>
    <cfRule type="containsText" dxfId="111" priority="20" operator="containsText" text="M">
      <formula>NOT(ISERROR(SEARCH("M",O6)))</formula>
    </cfRule>
  </conditionalFormatting>
  <conditionalFormatting sqref="O18:O26">
    <cfRule type="containsText" dxfId="110" priority="11" operator="containsText" text="pF">
      <formula>NOT(ISERROR(SEARCH("pF",O18)))</formula>
    </cfRule>
    <cfRule type="containsText" dxfId="109" priority="12" operator="containsText" text="F">
      <formula>NOT(ISERROR(SEARCH("F",O18)))</formula>
    </cfRule>
    <cfRule type="containsText" dxfId="108" priority="14" operator="containsText" text="pM">
      <formula>NOT(ISERROR(SEARCH("pM",O18)))</formula>
    </cfRule>
    <cfRule type="containsText" dxfId="107" priority="15" operator="containsText" text="M">
      <formula>NOT(ISERROR(SEARCH("M",O18)))</formula>
    </cfRule>
  </conditionalFormatting>
  <conditionalFormatting sqref="O6:P14">
    <cfRule type="containsText" dxfId="106" priority="18" operator="containsText" text="ND">
      <formula>NOT(ISERROR(SEARCH("ND",O6)))</formula>
    </cfRule>
  </conditionalFormatting>
  <conditionalFormatting sqref="O15:P15">
    <cfRule type="containsText" dxfId="105" priority="119" operator="containsText" text="pM">
      <formula>NOT(ISERROR(SEARCH("pM",O15)))</formula>
    </cfRule>
    <cfRule type="containsText" dxfId="104" priority="120" operator="containsText" text="M">
      <formula>NOT(ISERROR(SEARCH("M",O15)))</formula>
    </cfRule>
    <cfRule type="containsText" dxfId="103" priority="116" operator="containsText" text="pF">
      <formula>NOT(ISERROR(SEARCH("pF",O15)))</formula>
    </cfRule>
    <cfRule type="containsText" dxfId="102" priority="117" operator="containsText" text="F">
      <formula>NOT(ISERROR(SEARCH("F",O15)))</formula>
    </cfRule>
    <cfRule type="containsText" dxfId="101" priority="118" operator="containsText" text="ND">
      <formula>NOT(ISERROR(SEARCH("ND",O15)))</formula>
    </cfRule>
  </conditionalFormatting>
  <conditionalFormatting sqref="O18:P26">
    <cfRule type="containsText" dxfId="100" priority="13" operator="containsText" text="ND">
      <formula>NOT(ISERROR(SEARCH("ND",O18)))</formula>
    </cfRule>
  </conditionalFormatting>
  <conditionalFormatting sqref="P6:P14">
    <cfRule type="containsText" dxfId="99" priority="51" operator="containsText" text="F">
      <formula>NOT(ISERROR(SEARCH("F",P6)))</formula>
    </cfRule>
    <cfRule type="containsText" dxfId="98" priority="52" operator="containsText" text="M">
      <formula>NOT(ISERROR(SEARCH("M",P6)))</formula>
    </cfRule>
  </conditionalFormatting>
  <conditionalFormatting sqref="P18:P26">
    <cfRule type="containsText" dxfId="97" priority="43" operator="containsText" text="F">
      <formula>NOT(ISERROR(SEARCH("F",P18)))</formula>
    </cfRule>
    <cfRule type="containsText" dxfId="96" priority="44" operator="containsText" text="M">
      <formula>NOT(ISERROR(SEARCH("M",P18)))</formula>
    </cfRule>
  </conditionalFormatting>
  <conditionalFormatting sqref="U6:U14">
    <cfRule type="colorScale" priority="67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U18:U29">
    <cfRule type="colorScale" priority="61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V6:V14">
    <cfRule type="containsText" dxfId="95" priority="10" operator="containsText" text="M">
      <formula>NOT(ISERROR(SEARCH("M",V6)))</formula>
    </cfRule>
    <cfRule type="containsText" dxfId="94" priority="9" operator="containsText" text="pM">
      <formula>NOT(ISERROR(SEARCH("pM",V6)))</formula>
    </cfRule>
    <cfRule type="containsText" dxfId="93" priority="7" operator="containsText" text="F">
      <formula>NOT(ISERROR(SEARCH("F",V6)))</formula>
    </cfRule>
    <cfRule type="containsText" dxfId="92" priority="6" operator="containsText" text="pF">
      <formula>NOT(ISERROR(SEARCH("pF",V6)))</formula>
    </cfRule>
  </conditionalFormatting>
  <conditionalFormatting sqref="V18:V29">
    <cfRule type="containsText" dxfId="91" priority="2" operator="containsText" text="F">
      <formula>NOT(ISERROR(SEARCH("F",V18)))</formula>
    </cfRule>
    <cfRule type="containsText" dxfId="90" priority="1" operator="containsText" text="pF">
      <formula>NOT(ISERROR(SEARCH("pF",V18)))</formula>
    </cfRule>
    <cfRule type="containsText" dxfId="89" priority="5" operator="containsText" text="M">
      <formula>NOT(ISERROR(SEARCH("M",V18)))</formula>
    </cfRule>
    <cfRule type="containsText" dxfId="88" priority="4" operator="containsText" text="pM">
      <formula>NOT(ISERROR(SEARCH("pM",V18)))</formula>
    </cfRule>
  </conditionalFormatting>
  <conditionalFormatting sqref="V6:W14">
    <cfRule type="containsText" dxfId="87" priority="8" operator="containsText" text="ND">
      <formula>NOT(ISERROR(SEARCH("ND",V6)))</formula>
    </cfRule>
  </conditionalFormatting>
  <conditionalFormatting sqref="V18:W29">
    <cfRule type="containsText" dxfId="86" priority="3" operator="containsText" text="ND">
      <formula>NOT(ISERROR(SEARCH("ND",V18)))</formula>
    </cfRule>
  </conditionalFormatting>
  <conditionalFormatting sqref="W6:W14">
    <cfRule type="containsText" dxfId="85" priority="36" operator="containsText" text="M">
      <formula>NOT(ISERROR(SEARCH("M",W6)))</formula>
    </cfRule>
    <cfRule type="containsText" dxfId="84" priority="35" operator="containsText" text="F">
      <formula>NOT(ISERROR(SEARCH("F",W6)))</formula>
    </cfRule>
  </conditionalFormatting>
  <conditionalFormatting sqref="W18:W29">
    <cfRule type="containsText" dxfId="83" priority="28" operator="containsText" text="M">
      <formula>NOT(ISERROR(SEARCH("M",W18)))</formula>
    </cfRule>
    <cfRule type="containsText" dxfId="82" priority="27" operator="containsText" text="F">
      <formula>NOT(ISERROR(SEARCH("F",W18)))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BA5F-9A28-4B2A-95D5-F929689AC423}">
  <dimension ref="A1:H33"/>
  <sheetViews>
    <sheetView workbookViewId="0">
      <selection activeCell="G7" sqref="G7"/>
    </sheetView>
  </sheetViews>
  <sheetFormatPr defaultColWidth="9.140625" defaultRowHeight="15" x14ac:dyDescent="0.25"/>
  <cols>
    <col min="1" max="3" width="9.140625" style="38"/>
    <col min="4" max="4" width="32.140625" style="38" bestFit="1" customWidth="1"/>
    <col min="5" max="5" width="6.28515625" style="38" bestFit="1" customWidth="1"/>
    <col min="6" max="6" width="9.140625" style="38"/>
    <col min="7" max="7" width="113" style="38" customWidth="1"/>
    <col min="8" max="16384" width="9.140625" style="38"/>
  </cols>
  <sheetData>
    <row r="1" spans="1:8" x14ac:dyDescent="0.25">
      <c r="A1" s="59"/>
      <c r="B1" s="59"/>
      <c r="C1" s="59"/>
      <c r="D1" s="59"/>
      <c r="E1" s="59"/>
      <c r="F1" s="59"/>
      <c r="G1" s="59"/>
      <c r="H1" s="59"/>
    </row>
    <row r="2" spans="1:8" x14ac:dyDescent="0.25">
      <c r="A2" s="59"/>
      <c r="B2" s="59" t="s">
        <v>211</v>
      </c>
      <c r="C2" s="59"/>
      <c r="D2" s="59"/>
      <c r="E2" s="59"/>
      <c r="F2" s="59"/>
      <c r="G2" s="59"/>
      <c r="H2" s="59"/>
    </row>
    <row r="3" spans="1:8" x14ac:dyDescent="0.25">
      <c r="A3" s="59"/>
      <c r="B3" s="59"/>
      <c r="C3" s="59"/>
      <c r="D3" s="59"/>
      <c r="E3" s="59"/>
      <c r="F3" s="59"/>
      <c r="G3" s="59"/>
      <c r="H3" s="59"/>
    </row>
    <row r="4" spans="1:8" x14ac:dyDescent="0.25">
      <c r="A4" s="59"/>
      <c r="B4" s="61" t="s">
        <v>147</v>
      </c>
      <c r="C4" s="61" t="s">
        <v>148</v>
      </c>
      <c r="D4" s="61" t="s">
        <v>137</v>
      </c>
      <c r="E4" s="61" t="s">
        <v>149</v>
      </c>
      <c r="F4" s="61" t="s">
        <v>150</v>
      </c>
      <c r="G4" s="61" t="s">
        <v>151</v>
      </c>
      <c r="H4" s="59"/>
    </row>
    <row r="5" spans="1:8" x14ac:dyDescent="0.25">
      <c r="A5" s="59"/>
      <c r="B5" s="76" t="s">
        <v>133</v>
      </c>
      <c r="C5" s="77" t="s">
        <v>152</v>
      </c>
      <c r="D5" s="61" t="s">
        <v>153</v>
      </c>
      <c r="E5" s="61" t="s">
        <v>0</v>
      </c>
      <c r="F5" s="62" t="s">
        <v>213</v>
      </c>
      <c r="G5" s="61" t="s">
        <v>154</v>
      </c>
      <c r="H5" s="59"/>
    </row>
    <row r="6" spans="1:8" x14ac:dyDescent="0.25">
      <c r="A6" s="59"/>
      <c r="B6" s="76"/>
      <c r="C6" s="77"/>
      <c r="D6" s="61" t="s">
        <v>155</v>
      </c>
      <c r="E6" s="61" t="s">
        <v>1</v>
      </c>
      <c r="F6" s="62" t="s">
        <v>214</v>
      </c>
      <c r="G6" s="61" t="s">
        <v>156</v>
      </c>
      <c r="H6" s="59"/>
    </row>
    <row r="7" spans="1:8" ht="15.75" x14ac:dyDescent="0.25">
      <c r="A7" s="59"/>
      <c r="B7" s="76"/>
      <c r="C7" s="77"/>
      <c r="D7" s="61" t="s">
        <v>157</v>
      </c>
      <c r="E7" s="61" t="s">
        <v>2</v>
      </c>
      <c r="F7" s="63"/>
      <c r="G7" s="61" t="s">
        <v>158</v>
      </c>
      <c r="H7" s="59"/>
    </row>
    <row r="8" spans="1:8" x14ac:dyDescent="0.25">
      <c r="A8" s="59"/>
      <c r="B8" s="76"/>
      <c r="C8" s="77"/>
      <c r="D8" s="61" t="s">
        <v>159</v>
      </c>
      <c r="E8" s="61" t="s">
        <v>3</v>
      </c>
      <c r="F8" s="62"/>
      <c r="G8" s="61" t="s">
        <v>160</v>
      </c>
      <c r="H8" s="59"/>
    </row>
    <row r="9" spans="1:8" x14ac:dyDescent="0.25">
      <c r="A9" s="59"/>
      <c r="B9" s="76"/>
      <c r="C9" s="77"/>
      <c r="D9" s="61" t="s">
        <v>161</v>
      </c>
      <c r="E9" s="61" t="s">
        <v>4</v>
      </c>
      <c r="F9" s="62" t="s">
        <v>215</v>
      </c>
      <c r="G9" s="61" t="s">
        <v>162</v>
      </c>
      <c r="H9" s="59"/>
    </row>
    <row r="10" spans="1:8" x14ac:dyDescent="0.25">
      <c r="A10" s="59"/>
      <c r="B10" s="76"/>
      <c r="C10" s="77"/>
      <c r="D10" s="61" t="s">
        <v>163</v>
      </c>
      <c r="E10" s="61" t="s">
        <v>5</v>
      </c>
      <c r="F10" s="62" t="s">
        <v>216</v>
      </c>
      <c r="G10" s="61" t="s">
        <v>164</v>
      </c>
      <c r="H10" s="59"/>
    </row>
    <row r="11" spans="1:8" x14ac:dyDescent="0.25">
      <c r="A11" s="59"/>
      <c r="B11" s="76"/>
      <c r="C11" s="77"/>
      <c r="D11" s="61" t="s">
        <v>165</v>
      </c>
      <c r="E11" s="61" t="s">
        <v>6</v>
      </c>
      <c r="F11" s="62" t="s">
        <v>217</v>
      </c>
      <c r="G11" s="61" t="s">
        <v>166</v>
      </c>
      <c r="H11" s="59"/>
    </row>
    <row r="12" spans="1:8" x14ac:dyDescent="0.25">
      <c r="A12" s="59"/>
      <c r="B12" s="76"/>
      <c r="C12" s="77" t="s">
        <v>167</v>
      </c>
      <c r="D12" s="61" t="s">
        <v>168</v>
      </c>
      <c r="E12" s="61" t="s">
        <v>7</v>
      </c>
      <c r="F12" s="62" t="s">
        <v>218</v>
      </c>
      <c r="G12" s="61" t="s">
        <v>169</v>
      </c>
      <c r="H12" s="59"/>
    </row>
    <row r="13" spans="1:8" x14ac:dyDescent="0.25">
      <c r="A13" s="59"/>
      <c r="B13" s="76"/>
      <c r="C13" s="77"/>
      <c r="D13" s="61" t="s">
        <v>170</v>
      </c>
      <c r="E13" s="61" t="s">
        <v>8</v>
      </c>
      <c r="F13" s="62" t="s">
        <v>219</v>
      </c>
      <c r="G13" s="61" t="s">
        <v>171</v>
      </c>
      <c r="H13" s="59"/>
    </row>
    <row r="14" spans="1:8" x14ac:dyDescent="0.25">
      <c r="A14" s="59"/>
      <c r="B14" s="76"/>
      <c r="C14" s="77"/>
      <c r="D14" s="61" t="s">
        <v>172</v>
      </c>
      <c r="E14" s="61" t="s">
        <v>9</v>
      </c>
      <c r="F14" s="62" t="s">
        <v>220</v>
      </c>
      <c r="G14" s="61" t="s">
        <v>173</v>
      </c>
      <c r="H14" s="59"/>
    </row>
    <row r="15" spans="1:8" ht="15.75" x14ac:dyDescent="0.25">
      <c r="A15" s="59"/>
      <c r="B15" s="76" t="s">
        <v>134</v>
      </c>
      <c r="C15" s="61" t="s">
        <v>174</v>
      </c>
      <c r="D15" s="61" t="s">
        <v>175</v>
      </c>
      <c r="E15" s="61" t="s">
        <v>10</v>
      </c>
      <c r="F15" s="63"/>
      <c r="G15" s="61" t="s">
        <v>176</v>
      </c>
      <c r="H15" s="59"/>
    </row>
    <row r="16" spans="1:8" x14ac:dyDescent="0.25">
      <c r="A16" s="59"/>
      <c r="B16" s="76"/>
      <c r="C16" s="76" t="s">
        <v>177</v>
      </c>
      <c r="D16" s="61" t="s">
        <v>178</v>
      </c>
      <c r="E16" s="61" t="s">
        <v>11</v>
      </c>
      <c r="F16" s="62" t="s">
        <v>221</v>
      </c>
      <c r="G16" s="64" t="s">
        <v>179</v>
      </c>
      <c r="H16" s="59"/>
    </row>
    <row r="17" spans="1:8" x14ac:dyDescent="0.25">
      <c r="A17" s="59"/>
      <c r="B17" s="76"/>
      <c r="C17" s="76"/>
      <c r="D17" s="61" t="s">
        <v>180</v>
      </c>
      <c r="E17" s="61" t="s">
        <v>12</v>
      </c>
      <c r="F17" s="62" t="s">
        <v>222</v>
      </c>
      <c r="G17" s="64" t="s">
        <v>181</v>
      </c>
      <c r="H17" s="59"/>
    </row>
    <row r="18" spans="1:8" x14ac:dyDescent="0.25">
      <c r="A18" s="59"/>
      <c r="B18" s="76"/>
      <c r="C18" s="76"/>
      <c r="D18" s="61" t="s">
        <v>182</v>
      </c>
      <c r="E18" s="61" t="s">
        <v>13</v>
      </c>
      <c r="F18" s="62"/>
      <c r="G18" s="64" t="s">
        <v>183</v>
      </c>
      <c r="H18" s="59"/>
    </row>
    <row r="19" spans="1:8" x14ac:dyDescent="0.25">
      <c r="A19" s="59"/>
      <c r="B19" s="76"/>
      <c r="C19" s="76"/>
      <c r="D19" s="61" t="s">
        <v>184</v>
      </c>
      <c r="E19" s="61" t="s">
        <v>14</v>
      </c>
      <c r="F19" s="62" t="s">
        <v>223</v>
      </c>
      <c r="G19" s="64" t="s">
        <v>185</v>
      </c>
      <c r="H19" s="59"/>
    </row>
    <row r="20" spans="1:8" x14ac:dyDescent="0.25">
      <c r="A20" s="59"/>
      <c r="B20" s="76"/>
      <c r="C20" s="76" t="s">
        <v>186</v>
      </c>
      <c r="D20" s="61" t="s">
        <v>187</v>
      </c>
      <c r="E20" s="61" t="s">
        <v>15</v>
      </c>
      <c r="F20" s="62"/>
      <c r="G20" s="64" t="s">
        <v>188</v>
      </c>
      <c r="H20" s="59"/>
    </row>
    <row r="21" spans="1:8" x14ac:dyDescent="0.25">
      <c r="A21" s="59"/>
      <c r="B21" s="76"/>
      <c r="C21" s="76"/>
      <c r="D21" s="61" t="s">
        <v>189</v>
      </c>
      <c r="E21" s="61" t="s">
        <v>16</v>
      </c>
      <c r="F21" s="62" t="s">
        <v>224</v>
      </c>
      <c r="G21" s="64" t="s">
        <v>190</v>
      </c>
      <c r="H21" s="59"/>
    </row>
    <row r="22" spans="1:8" ht="27" x14ac:dyDescent="0.25">
      <c r="A22" s="59"/>
      <c r="B22" s="76"/>
      <c r="C22" s="76"/>
      <c r="D22" s="61" t="s">
        <v>191</v>
      </c>
      <c r="E22" s="61" t="s">
        <v>17</v>
      </c>
      <c r="F22" s="62"/>
      <c r="G22" s="64" t="s">
        <v>192</v>
      </c>
      <c r="H22" s="59"/>
    </row>
    <row r="23" spans="1:8" x14ac:dyDescent="0.25">
      <c r="A23" s="59"/>
      <c r="B23" s="76" t="s">
        <v>135</v>
      </c>
      <c r="C23" s="76" t="s">
        <v>193</v>
      </c>
      <c r="D23" s="61" t="s">
        <v>194</v>
      </c>
      <c r="E23" s="61" t="s">
        <v>18</v>
      </c>
      <c r="F23" s="62" t="s">
        <v>225</v>
      </c>
      <c r="G23" s="64" t="s">
        <v>195</v>
      </c>
      <c r="H23" s="59"/>
    </row>
    <row r="24" spans="1:8" x14ac:dyDescent="0.25">
      <c r="A24" s="59"/>
      <c r="B24" s="76"/>
      <c r="C24" s="76"/>
      <c r="D24" s="61" t="s">
        <v>189</v>
      </c>
      <c r="E24" s="61" t="s">
        <v>19</v>
      </c>
      <c r="F24" s="62" t="s">
        <v>226</v>
      </c>
      <c r="G24" s="64" t="s">
        <v>196</v>
      </c>
      <c r="H24" s="59"/>
    </row>
    <row r="25" spans="1:8" ht="15.75" x14ac:dyDescent="0.25">
      <c r="A25" s="59"/>
      <c r="B25" s="76"/>
      <c r="C25" s="76"/>
      <c r="D25" s="61" t="s">
        <v>197</v>
      </c>
      <c r="E25" s="65"/>
      <c r="F25" s="62" t="s">
        <v>227</v>
      </c>
      <c r="G25" s="64" t="s">
        <v>198</v>
      </c>
      <c r="H25" s="59"/>
    </row>
    <row r="26" spans="1:8" x14ac:dyDescent="0.25">
      <c r="A26" s="59"/>
      <c r="B26" s="76"/>
      <c r="C26" s="76"/>
      <c r="D26" s="61" t="s">
        <v>199</v>
      </c>
      <c r="E26" s="61" t="s">
        <v>21</v>
      </c>
      <c r="F26" s="62"/>
      <c r="G26" s="64" t="s">
        <v>200</v>
      </c>
      <c r="H26" s="59"/>
    </row>
    <row r="27" spans="1:8" x14ac:dyDescent="0.25">
      <c r="A27" s="59"/>
      <c r="B27" s="76"/>
      <c r="C27" s="76" t="s">
        <v>201</v>
      </c>
      <c r="D27" s="61" t="s">
        <v>202</v>
      </c>
      <c r="E27" s="61" t="s">
        <v>22</v>
      </c>
      <c r="F27" s="62"/>
      <c r="G27" s="64" t="s">
        <v>203</v>
      </c>
      <c r="H27" s="59"/>
    </row>
    <row r="28" spans="1:8" x14ac:dyDescent="0.25">
      <c r="A28" s="59"/>
      <c r="B28" s="76"/>
      <c r="C28" s="76"/>
      <c r="D28" s="61" t="s">
        <v>204</v>
      </c>
      <c r="E28" s="61" t="s">
        <v>23</v>
      </c>
      <c r="F28" s="62" t="s">
        <v>228</v>
      </c>
      <c r="G28" s="64" t="s">
        <v>205</v>
      </c>
      <c r="H28" s="59"/>
    </row>
    <row r="29" spans="1:8" x14ac:dyDescent="0.25">
      <c r="A29" s="59"/>
      <c r="B29" s="76"/>
      <c r="C29" s="76"/>
      <c r="D29" s="61" t="s">
        <v>206</v>
      </c>
      <c r="E29" s="61" t="s">
        <v>24</v>
      </c>
      <c r="F29" s="62" t="s">
        <v>229</v>
      </c>
      <c r="G29" s="64" t="s">
        <v>207</v>
      </c>
      <c r="H29" s="59"/>
    </row>
    <row r="30" spans="1:8" ht="15.75" x14ac:dyDescent="0.25">
      <c r="A30" s="59"/>
      <c r="B30" s="76"/>
      <c r="C30" s="61" t="s">
        <v>208</v>
      </c>
      <c r="D30" s="61" t="s">
        <v>209</v>
      </c>
      <c r="E30" s="61" t="s">
        <v>25</v>
      </c>
      <c r="F30" s="63"/>
      <c r="G30" s="61" t="s">
        <v>210</v>
      </c>
      <c r="H30" s="59"/>
    </row>
    <row r="31" spans="1:8" x14ac:dyDescent="0.25">
      <c r="A31" s="59"/>
      <c r="B31" s="59"/>
      <c r="C31" s="59"/>
      <c r="D31" s="59"/>
      <c r="E31" s="59"/>
      <c r="F31" s="59"/>
      <c r="G31" s="59"/>
      <c r="H31" s="59"/>
    </row>
    <row r="32" spans="1:8" x14ac:dyDescent="0.25">
      <c r="A32" s="59"/>
      <c r="B32" s="60" t="s">
        <v>212</v>
      </c>
      <c r="C32" s="59"/>
      <c r="D32" s="59"/>
      <c r="E32" s="59"/>
      <c r="F32" s="59"/>
      <c r="G32" s="59"/>
      <c r="H32" s="59"/>
    </row>
    <row r="33" spans="1:8" x14ac:dyDescent="0.25">
      <c r="A33" s="59"/>
      <c r="B33" s="59"/>
      <c r="C33" s="59"/>
      <c r="D33" s="59"/>
      <c r="E33" s="59"/>
      <c r="F33" s="59"/>
      <c r="G33" s="59"/>
      <c r="H33" s="59"/>
    </row>
  </sheetData>
  <sheetProtection algorithmName="SHA-512" hashValue="lmEQmkjZ8ddnLMvWWNRXK+KlW1+CLqpPoUeGQVHJYPs5Iem2OX4zkEHd/8fUmagb5ANt4m2gNdCI0EcQH0OUHA==" saltValue="QBuHHFyG7PDDVit8ALkVgQ==" spinCount="100000" sheet="1" objects="1" scenarios="1"/>
  <mergeCells count="9">
    <mergeCell ref="B23:B30"/>
    <mergeCell ref="C23:C26"/>
    <mergeCell ref="C27:C29"/>
    <mergeCell ref="B5:B14"/>
    <mergeCell ref="C5:C11"/>
    <mergeCell ref="C12:C14"/>
    <mergeCell ref="B15:B22"/>
    <mergeCell ref="C16:C19"/>
    <mergeCell ref="C20:C2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24F6-2085-4746-8064-974C518459BE}">
  <dimension ref="A1:Y37"/>
  <sheetViews>
    <sheetView workbookViewId="0">
      <selection activeCell="J2" sqref="J2"/>
    </sheetView>
  </sheetViews>
  <sheetFormatPr defaultColWidth="9.140625" defaultRowHeight="13.5" x14ac:dyDescent="0.25"/>
  <cols>
    <col min="1" max="1" width="6.28515625" style="2" customWidth="1"/>
    <col min="2" max="2" width="6.42578125" style="2" customWidth="1"/>
    <col min="3" max="3" width="12.85546875" style="3" bestFit="1" customWidth="1"/>
    <col min="4" max="4" width="3" style="3" customWidth="1"/>
    <col min="5" max="5" width="7.28515625" style="3" customWidth="1"/>
    <col min="6" max="6" width="7" style="4" bestFit="1" customWidth="1"/>
    <col min="7" max="7" width="9.85546875" style="3" customWidth="1"/>
    <col min="8" max="9" width="5.85546875" style="3" bestFit="1" customWidth="1"/>
    <col min="10" max="10" width="16.5703125" style="2" bestFit="1" customWidth="1"/>
    <col min="11" max="11" width="3.140625" style="2" customWidth="1"/>
    <col min="12" max="12" width="6.42578125" style="2" bestFit="1" customWidth="1"/>
    <col min="13" max="13" width="8" style="4" customWidth="1"/>
    <col min="14" max="14" width="10.85546875" style="3" bestFit="1" customWidth="1"/>
    <col min="15" max="15" width="6.7109375" style="3" customWidth="1"/>
    <col min="16" max="16" width="5.85546875" style="3" bestFit="1" customWidth="1"/>
    <col min="17" max="17" width="35.42578125" style="1" bestFit="1" customWidth="1"/>
    <col min="18" max="18" width="2.5703125" style="2" customWidth="1"/>
    <col min="19" max="19" width="5.28515625" style="2" bestFit="1" customWidth="1"/>
    <col min="20" max="20" width="8.7109375" style="2" bestFit="1" customWidth="1"/>
    <col min="21" max="21" width="9.42578125" style="2" bestFit="1" customWidth="1"/>
    <col min="22" max="23" width="5.85546875" style="2" bestFit="1" customWidth="1"/>
    <col min="24" max="24" width="41.28515625" style="2" bestFit="1" customWidth="1"/>
    <col min="25" max="16384" width="9.140625" style="2"/>
  </cols>
  <sheetData>
    <row r="1" spans="1:25" x14ac:dyDescent="0.25">
      <c r="A1" s="39"/>
      <c r="B1" s="39"/>
      <c r="C1" s="40"/>
      <c r="D1" s="40"/>
      <c r="E1" s="40"/>
      <c r="F1" s="41"/>
      <c r="G1" s="40"/>
      <c r="H1" s="40"/>
      <c r="I1" s="40"/>
      <c r="J1" s="39"/>
      <c r="K1" s="39"/>
      <c r="L1" s="67" t="s">
        <v>232</v>
      </c>
      <c r="M1" s="41"/>
      <c r="N1" s="40"/>
      <c r="O1" s="40"/>
      <c r="P1" s="40"/>
      <c r="Q1" s="42"/>
      <c r="R1" s="39"/>
      <c r="S1" s="39"/>
      <c r="T1" s="39"/>
      <c r="U1" s="39"/>
      <c r="V1" s="39"/>
      <c r="W1" s="39"/>
      <c r="X1" s="39"/>
      <c r="Y1" s="39"/>
    </row>
    <row r="2" spans="1:25" ht="15.75" x14ac:dyDescent="0.25">
      <c r="A2" s="39"/>
      <c r="B2" s="43"/>
      <c r="C2" s="40"/>
      <c r="D2" s="40"/>
      <c r="E2" s="40"/>
      <c r="F2" s="41"/>
      <c r="G2" s="40"/>
      <c r="H2" s="40"/>
      <c r="I2" s="40"/>
      <c r="J2" s="39"/>
      <c r="K2" s="39"/>
      <c r="L2" s="39" t="s">
        <v>231</v>
      </c>
      <c r="M2" s="41"/>
      <c r="N2" s="40"/>
      <c r="O2" s="40"/>
      <c r="P2" s="40"/>
      <c r="Q2" s="42"/>
      <c r="R2" s="39"/>
      <c r="S2" s="39"/>
      <c r="T2" s="39"/>
      <c r="U2" s="39"/>
      <c r="V2" s="39"/>
      <c r="W2" s="39"/>
      <c r="X2" s="39"/>
      <c r="Y2" s="39"/>
    </row>
    <row r="3" spans="1:25" ht="14.25" thickBot="1" x14ac:dyDescent="0.3">
      <c r="A3" s="39"/>
      <c r="B3" s="39"/>
      <c r="C3" s="40"/>
      <c r="D3" s="40"/>
      <c r="E3" s="40"/>
      <c r="F3" s="41"/>
      <c r="G3" s="40"/>
      <c r="H3" s="40"/>
      <c r="I3" s="40"/>
      <c r="J3" s="39"/>
      <c r="K3" s="39"/>
      <c r="L3" s="39"/>
      <c r="M3" s="41"/>
      <c r="N3" s="40"/>
      <c r="O3" s="40"/>
      <c r="P3" s="40"/>
      <c r="Q3" s="42"/>
      <c r="R3" s="39"/>
      <c r="S3" s="39"/>
      <c r="T3" s="39"/>
      <c r="U3" s="39"/>
      <c r="V3" s="39"/>
      <c r="W3" s="39"/>
      <c r="X3" s="39"/>
      <c r="Y3" s="39"/>
    </row>
    <row r="4" spans="1:25" ht="15" thickTop="1" thickBot="1" x14ac:dyDescent="0.3">
      <c r="A4" s="39"/>
      <c r="B4" s="68" t="s">
        <v>141</v>
      </c>
      <c r="C4" s="69"/>
      <c r="D4" s="40"/>
      <c r="E4" s="70" t="s">
        <v>142</v>
      </c>
      <c r="F4" s="71"/>
      <c r="G4" s="71"/>
      <c r="H4" s="71"/>
      <c r="I4" s="71"/>
      <c r="J4" s="72"/>
      <c r="K4" s="45"/>
      <c r="L4" s="73" t="s">
        <v>143</v>
      </c>
      <c r="M4" s="74"/>
      <c r="N4" s="74"/>
      <c r="O4" s="74"/>
      <c r="P4" s="74"/>
      <c r="Q4" s="75"/>
      <c r="R4" s="45"/>
      <c r="S4" s="73" t="s">
        <v>145</v>
      </c>
      <c r="T4" s="74"/>
      <c r="U4" s="74"/>
      <c r="V4" s="74"/>
      <c r="W4" s="74"/>
      <c r="X4" s="75"/>
      <c r="Y4" s="39"/>
    </row>
    <row r="5" spans="1:25" s="7" customFormat="1" ht="15.75" customHeight="1" thickTop="1" x14ac:dyDescent="0.25">
      <c r="A5" s="44"/>
      <c r="B5" s="8" t="s">
        <v>149</v>
      </c>
      <c r="C5" s="9" t="s">
        <v>140</v>
      </c>
      <c r="D5" s="57"/>
      <c r="E5" s="18" t="s">
        <v>28</v>
      </c>
      <c r="F5" s="19" t="s">
        <v>136</v>
      </c>
      <c r="G5" s="20" t="s">
        <v>138</v>
      </c>
      <c r="H5" s="20" t="s">
        <v>26</v>
      </c>
      <c r="I5" s="20" t="s">
        <v>27</v>
      </c>
      <c r="J5" s="21" t="s">
        <v>139</v>
      </c>
      <c r="K5" s="46"/>
      <c r="L5" s="22" t="s">
        <v>28</v>
      </c>
      <c r="M5" s="23" t="s">
        <v>136</v>
      </c>
      <c r="N5" s="24" t="s">
        <v>138</v>
      </c>
      <c r="O5" s="24" t="s">
        <v>26</v>
      </c>
      <c r="P5" s="24" t="s">
        <v>27</v>
      </c>
      <c r="Q5" s="25" t="s">
        <v>139</v>
      </c>
      <c r="R5" s="46"/>
      <c r="S5" s="26" t="s">
        <v>28</v>
      </c>
      <c r="T5" s="23" t="s">
        <v>136</v>
      </c>
      <c r="U5" s="24" t="s">
        <v>138</v>
      </c>
      <c r="V5" s="24" t="s">
        <v>26</v>
      </c>
      <c r="W5" s="24" t="s">
        <v>27</v>
      </c>
      <c r="X5" s="25" t="s">
        <v>139</v>
      </c>
      <c r="Y5" s="44"/>
    </row>
    <row r="6" spans="1:25" x14ac:dyDescent="0.25">
      <c r="A6" s="39"/>
      <c r="B6" s="5" t="s">
        <v>0</v>
      </c>
      <c r="C6" s="10">
        <v>183</v>
      </c>
      <c r="D6" s="58"/>
      <c r="E6" s="27" t="s">
        <v>0</v>
      </c>
      <c r="F6" s="28">
        <f>IF(C6&gt;0,0.24*C6-43.191,"")</f>
        <v>0.7289999999999992</v>
      </c>
      <c r="G6" s="12">
        <f t="shared" ref="G6:G31" si="0">IF(ISNUMBER(F6),1/(1+EXP(-F6)),"")</f>
        <v>0.67458579111740868</v>
      </c>
      <c r="H6" s="13" t="str" cm="1">
        <f t="array" ref="H6">_xlfn.IFS(F6="","",F6&lt;-2.94,"F",AND(F6&gt;=-2.94,F6&lt;-1.73),"pF",AND(F6&gt;=-1.73,F6&lt;1.73),"ND",AND(F6&gt;=1.73,F6&lt;2.94),"pM",F6&gt;2.94,"M")</f>
        <v>ND</v>
      </c>
      <c r="I6" s="14" t="str" cm="1">
        <f t="array" ref="I6">_xlfn.IFS(F6="","",F6&lt;0,"F",F6=0,"ND",F6&gt;0,"M")</f>
        <v>M</v>
      </c>
      <c r="J6" s="29" t="s">
        <v>98</v>
      </c>
      <c r="K6" s="45"/>
      <c r="L6" s="30" t="s">
        <v>29</v>
      </c>
      <c r="M6" s="66">
        <f>IF(AND(C16&gt;0,C19&gt;0,C22&gt;0),-0.897*C16+2.239*C19+4.549*C22-102.273,"")</f>
        <v>18.055000000000007</v>
      </c>
      <c r="N6" s="12">
        <f t="shared" ref="N6:N14" si="1">IF(ISNUMBER(M6),1/(1+EXP(-M6)),"")</f>
        <v>0.99999998558505054</v>
      </c>
      <c r="O6" s="13" t="str" cm="1">
        <f t="array" ref="O6">_xlfn.IFS(M6="","",M6&lt;-2.94,"F",AND(M6&gt;=-2.94,M6&lt;-1.73),"pF",AND(M6&gt;=-1.73,M6&lt;1.73),"ND",AND(M6&gt;=1.73,M6&lt;2.94),"pM",M6&gt;2.94,"M")</f>
        <v>M</v>
      </c>
      <c r="P6" s="14" t="str" cm="1">
        <f t="array" ref="P6">_xlfn.IFS(M6="","",M6&lt;0,"F",M6=0,"ND",M6&gt;0,"M")</f>
        <v>M</v>
      </c>
      <c r="Q6" s="31" t="s">
        <v>80</v>
      </c>
      <c r="R6" s="45"/>
      <c r="S6" s="30" t="s">
        <v>47</v>
      </c>
      <c r="T6" s="66">
        <f>IF(AND(C6&gt;0,C9&gt;0,C15&gt;0),0.431*C6+0.272*C9+0.249*C15-127.238,"")</f>
        <v>4.2315000000000111</v>
      </c>
      <c r="U6" s="12">
        <f t="shared" ref="U6:U14" si="2">IF(ISNUMBER(T6),1/(1+EXP(-T6)),"")</f>
        <v>0.98567753536830005</v>
      </c>
      <c r="V6" s="13" t="str" cm="1">
        <f t="array" ref="V6">_xlfn.IFS(T6="","",T6&lt;-2.94,"F",AND(T6&gt;=-2.94,T6&lt;-1.73),"pF",AND(T6&gt;=-1.73,T6&lt;1.73),"ND",AND(T6&gt;=1.73,T6&lt;2.94),"pM",T6&gt;2.94,"M")</f>
        <v>M</v>
      </c>
      <c r="W6" s="14" t="str" cm="1">
        <f t="array" ref="W6">_xlfn.IFS(T6="","",T6&lt;0,"F",T6=0,"ND",T6&gt;0,"M")</f>
        <v>M</v>
      </c>
      <c r="X6" s="31" t="s">
        <v>124</v>
      </c>
      <c r="Y6" s="39"/>
    </row>
    <row r="7" spans="1:25" x14ac:dyDescent="0.25">
      <c r="A7" s="39"/>
      <c r="B7" s="5" t="s">
        <v>1</v>
      </c>
      <c r="C7" s="10">
        <v>96</v>
      </c>
      <c r="D7" s="58"/>
      <c r="E7" s="27" t="s">
        <v>1</v>
      </c>
      <c r="F7" s="28">
        <f>IF(C7&gt;0,0.28*C7-25.577,"")</f>
        <v>1.3030000000000008</v>
      </c>
      <c r="G7" s="12">
        <f t="shared" si="0"/>
        <v>0.78633944517284604</v>
      </c>
      <c r="H7" s="13" t="str" cm="1">
        <f t="array" ref="H7">_xlfn.IFS(F7="","",F7&lt;-2.94,"F",AND(F7&gt;=-2.94,F7&lt;-1.73),"pF",AND(F7&gt;=-1.73,F7&lt;1.73),"ND",AND(F7&gt;=1.73,F7&lt;2.94),"pM",F7&gt;2.94,"M")</f>
        <v>ND</v>
      </c>
      <c r="I7" s="14" t="str" cm="1">
        <f t="array" ref="I7">_xlfn.IFS(F7="","",F7&lt;0,"F",F7=0,"ND",F7&gt;0,"M")</f>
        <v>M</v>
      </c>
      <c r="J7" s="29" t="s">
        <v>99</v>
      </c>
      <c r="K7" s="45"/>
      <c r="L7" s="30" t="s">
        <v>30</v>
      </c>
      <c r="M7" s="66">
        <f>IF(AND(C19&gt;0,C22&gt;0),0.887*C19+1.579*C22-51.062,"")</f>
        <v>7.0114999999999981</v>
      </c>
      <c r="N7" s="12">
        <f t="shared" si="1"/>
        <v>0.99909935649927339</v>
      </c>
      <c r="O7" s="13" t="str" cm="1">
        <f t="array" ref="O7">_xlfn.IFS(M7="","",M7&lt;-2.94,"F",AND(M7&gt;=-2.94,M7&lt;-1.73),"pF",AND(M7&gt;=-1.73,M7&lt;1.73),"ND",AND(M7&gt;=1.73,M7&lt;2.94),"pM",M7&gt;2.94,"M")</f>
        <v>M</v>
      </c>
      <c r="P7" s="14" t="str" cm="1">
        <f t="array" ref="P7">_xlfn.IFS(M7="","",M7&lt;0,"F",M7=0,"ND",M7&gt;0,"M")</f>
        <v>M</v>
      </c>
      <c r="Q7" s="31" t="s">
        <v>81</v>
      </c>
      <c r="R7" s="45"/>
      <c r="S7" s="30" t="s">
        <v>48</v>
      </c>
      <c r="T7" s="66">
        <f>IF(AND(C8&gt;0,C14&gt;0,C15&gt;0),0.296*C8+0.294*C14+0.344*C15-62.847,"")</f>
        <v>4.3629999999999924</v>
      </c>
      <c r="U7" s="12">
        <f t="shared" si="2"/>
        <v>0.9874201586301059</v>
      </c>
      <c r="V7" s="13" t="str" cm="1">
        <f t="array" ref="V7">_xlfn.IFS(T7="","",T7&lt;-2.94,"F",AND(T7&gt;=-2.94,T7&lt;-1.73),"pF",AND(T7&gt;=-1.73,T7&lt;1.73),"ND",AND(T7&gt;=1.73,T7&lt;2.94),"pM",T7&gt;2.94,"M")</f>
        <v>M</v>
      </c>
      <c r="W7" s="14" t="str" cm="1">
        <f t="array" ref="W7">_xlfn.IFS(T7="","",T7&lt;0,"F",T7=0,"ND",T7&gt;0,"M")</f>
        <v>M</v>
      </c>
      <c r="X7" s="31" t="s">
        <v>125</v>
      </c>
      <c r="Y7" s="39"/>
    </row>
    <row r="8" spans="1:25" x14ac:dyDescent="0.25">
      <c r="A8" s="39"/>
      <c r="B8" s="5" t="s">
        <v>2</v>
      </c>
      <c r="C8" s="10">
        <v>114</v>
      </c>
      <c r="D8" s="58"/>
      <c r="E8" s="27" t="s">
        <v>2</v>
      </c>
      <c r="F8" s="28">
        <f>IF(C8&gt;0,0.103*C8-11.377,"")</f>
        <v>0.36499999999999844</v>
      </c>
      <c r="G8" s="12">
        <f t="shared" si="0"/>
        <v>0.5902502519301831</v>
      </c>
      <c r="H8" s="13" t="str" cm="1">
        <f t="array" ref="H8">_xlfn.IFS(F8="","",F8&lt;-2.94,"F",AND(F8&gt;=-2.94,F8&lt;-1.73),"pF",AND(F8&gt;=-1.73,F8&lt;1.73),"ND",AND(F8&gt;=1.73,F8&lt;2.94),"pM",F8&gt;2.94,"M")</f>
        <v>ND</v>
      </c>
      <c r="I8" s="14" t="str" cm="1">
        <f t="array" ref="I8">_xlfn.IFS(F8="","",F8&lt;0,"F",F8=0,"ND",F8&gt;0,"M")</f>
        <v>M</v>
      </c>
      <c r="J8" s="29" t="s">
        <v>100</v>
      </c>
      <c r="K8" s="45"/>
      <c r="L8" s="30" t="s">
        <v>31</v>
      </c>
      <c r="M8" s="66">
        <f>IF(AND(C19&gt;0,C20&gt;0),1.236*C19+0.242*C20-58.126,"")</f>
        <v>9.7149999999999963</v>
      </c>
      <c r="N8" s="12">
        <f t="shared" si="1"/>
        <v>0.99993963254177254</v>
      </c>
      <c r="O8" s="13" t="str" cm="1">
        <f t="array" ref="O8">_xlfn.IFS(M8="","",M8&lt;-2.94,"F",AND(M8&gt;=-2.94,M8&lt;-1.73),"pF",AND(M8&gt;=-1.73,M8&lt;1.73),"ND",AND(M8&gt;=1.73,M8&lt;2.94),"pM",M8&gt;2.94,"M")</f>
        <v>M</v>
      </c>
      <c r="P8" s="14" t="str" cm="1">
        <f t="array" ref="P8">_xlfn.IFS(M8="","",M8&lt;0,"F",M8=0,"ND",M8&gt;0,"M")</f>
        <v>M</v>
      </c>
      <c r="Q8" s="31" t="s">
        <v>82</v>
      </c>
      <c r="R8" s="45"/>
      <c r="S8" s="30" t="s">
        <v>49</v>
      </c>
      <c r="T8" s="66">
        <f>IF(AND(C10&gt;0,C14&gt;0,C15&gt;0),0.225*C10+0.468*C14+0.237*C15-51.377,"")</f>
        <v>3.6774999999999949</v>
      </c>
      <c r="U8" s="12">
        <f t="shared" si="2"/>
        <v>0.97533750737027614</v>
      </c>
      <c r="V8" s="13" t="str" cm="1">
        <f t="array" ref="V8">_xlfn.IFS(T8="","",T8&lt;-2.94,"F",AND(T8&gt;=-2.94,T8&lt;-1.73),"pF",AND(T8&gt;=-1.73,T8&lt;1.73),"ND",AND(T8&gt;=1.73,T8&lt;2.94),"pM",T8&gt;2.94,"M")</f>
        <v>M</v>
      </c>
      <c r="W8" s="14" t="str" cm="1">
        <f t="array" ref="W8">_xlfn.IFS(T8="","",T8&lt;0,"F",T8=0,"ND",T8&gt;0,"M")</f>
        <v>M</v>
      </c>
      <c r="X8" s="31" t="s">
        <v>126</v>
      </c>
      <c r="Y8" s="39"/>
    </row>
    <row r="9" spans="1:25" x14ac:dyDescent="0.25">
      <c r="A9" s="39"/>
      <c r="B9" s="5" t="s">
        <v>3</v>
      </c>
      <c r="C9" s="10">
        <v>127</v>
      </c>
      <c r="D9" s="58"/>
      <c r="E9" s="27" t="s">
        <v>3</v>
      </c>
      <c r="F9" s="28">
        <f>IF(C9&gt;0,0.151*C9-18.615,"")</f>
        <v>0.56200000000000117</v>
      </c>
      <c r="G9" s="12">
        <f t="shared" si="0"/>
        <v>0.63691517528041475</v>
      </c>
      <c r="H9" s="13" t="str" cm="1">
        <f t="array" ref="H9">_xlfn.IFS(F9="","",F9&lt;-2.94,"F",AND(F9&gt;=-2.94,F9&lt;-1.73),"pF",AND(F9&gt;=-1.73,F9&lt;1.73),"ND",AND(F9&gt;=1.73,F9&lt;2.94),"pM",F9&gt;2.94,"M")</f>
        <v>ND</v>
      </c>
      <c r="I9" s="14" t="str" cm="1">
        <f t="array" ref="I9">_xlfn.IFS(F9="","",F9&lt;0,"F",F9=0,"ND",F9&gt;0,"M")</f>
        <v>M</v>
      </c>
      <c r="J9" s="29" t="s">
        <v>101</v>
      </c>
      <c r="K9" s="45"/>
      <c r="L9" s="30" t="s">
        <v>32</v>
      </c>
      <c r="M9" s="66">
        <f>IF(AND(C17&gt;0,C19&gt;0),0.337*C17+1.448*C19-63.027,"")</f>
        <v>9.2099999999999937</v>
      </c>
      <c r="N9" s="12">
        <f t="shared" si="1"/>
        <v>0.99989997596281799</v>
      </c>
      <c r="O9" s="13" t="str" cm="1">
        <f t="array" ref="O9">_xlfn.IFS(M9="","",M9&lt;-2.94,"F",AND(M9&gt;=-2.94,M9&lt;-1.73),"pF",AND(M9&gt;=-1.73,M9&lt;1.73),"ND",AND(M9&gt;=1.73,M9&lt;2.94),"pM",M9&gt;2.94,"M")</f>
        <v>M</v>
      </c>
      <c r="P9" s="14" t="str" cm="1">
        <f t="array" ref="P9">_xlfn.IFS(M9="","",M9&lt;0,"F",M9=0,"ND",M9&gt;0,"M")</f>
        <v>M</v>
      </c>
      <c r="Q9" s="31" t="s">
        <v>83</v>
      </c>
      <c r="R9" s="45"/>
      <c r="S9" s="30" t="s">
        <v>50</v>
      </c>
      <c r="T9" s="66">
        <f>IF(AND(C6&gt;0,C12&gt;0,C13&gt;0),0.435*C6+-0.133*C12+0.178*C13-86.243,"")</f>
        <v>1.8540000000000134</v>
      </c>
      <c r="U9" s="12">
        <f t="shared" si="2"/>
        <v>0.86459606512979426</v>
      </c>
      <c r="V9" s="13" t="str" cm="1">
        <f t="array" ref="V9">_xlfn.IFS(T9="","",T9&lt;-2.94,"F",AND(T9&gt;=-2.94,T9&lt;-1.73),"pF",AND(T9&gt;=-1.73,T9&lt;1.73),"ND",AND(T9&gt;=1.73,T9&lt;2.94),"pM",T9&gt;2.94,"M")</f>
        <v>pM</v>
      </c>
      <c r="W9" s="14" t="str" cm="1">
        <f t="array" ref="W9">_xlfn.IFS(T9="","",T9&lt;0,"F",T9=0,"ND",T9&gt;0,"M")</f>
        <v>M</v>
      </c>
      <c r="X9" s="31" t="s">
        <v>127</v>
      </c>
      <c r="Y9" s="39"/>
    </row>
    <row r="10" spans="1:25" x14ac:dyDescent="0.25">
      <c r="A10" s="39"/>
      <c r="B10" s="5" t="s">
        <v>4</v>
      </c>
      <c r="C10" s="10">
        <v>108</v>
      </c>
      <c r="D10" s="58"/>
      <c r="E10" s="27" t="s">
        <v>4</v>
      </c>
      <c r="F10" s="28">
        <f>IF(C10&gt;0,0.265*C10-26.342,"")</f>
        <v>2.2780000000000022</v>
      </c>
      <c r="G10" s="12">
        <f t="shared" si="0"/>
        <v>0.9070385448666558</v>
      </c>
      <c r="H10" s="13" t="str" cm="1">
        <f t="array" ref="H10">_xlfn.IFS(F10="","",F10&lt;-2.94,"F",AND(F10&gt;=-2.94,F10&lt;-1.73),"pF",AND(F10&gt;=-1.73,F10&lt;1.73),"ND",AND(F10&gt;=1.73,F10&lt;2.94),"pM",F10&gt;2.94,"M")</f>
        <v>pM</v>
      </c>
      <c r="I10" s="14" t="str" cm="1">
        <f t="array" ref="I10">_xlfn.IFS(F10="","",F10&lt;0,"F",F10=0,"ND",F10&gt;0,"M")</f>
        <v>M</v>
      </c>
      <c r="J10" s="29" t="s">
        <v>102</v>
      </c>
      <c r="K10" s="45"/>
      <c r="L10" s="30" t="s">
        <v>33</v>
      </c>
      <c r="M10" s="66">
        <f>IF(AND(C20&gt;0,C22&gt;0),0.312*C20+1.943*C22-32.964,"")</f>
        <v>5.1364999999999981</v>
      </c>
      <c r="N10" s="12">
        <f t="shared" si="1"/>
        <v>0.99415612408481269</v>
      </c>
      <c r="O10" s="13" t="str" cm="1">
        <f t="array" ref="O10">_xlfn.IFS(M10="","",M10&lt;-2.94,"F",AND(M10&gt;=-2.94,M10&lt;-1.73),"pF",AND(M10&gt;=-1.73,M10&lt;1.73),"ND",AND(M10&gt;=1.73,M10&lt;2.94),"pM",M10&gt;2.94,"M")</f>
        <v>M</v>
      </c>
      <c r="P10" s="14" t="str" cm="1">
        <f t="array" ref="P10">_xlfn.IFS(M10="","",M10&lt;0,"F",M10=0,"ND",M10&gt;0,"M")</f>
        <v>M</v>
      </c>
      <c r="Q10" s="31" t="s">
        <v>84</v>
      </c>
      <c r="R10" s="45"/>
      <c r="S10" s="30" t="s">
        <v>51</v>
      </c>
      <c r="T10" s="66">
        <f>IF(AND(C8&gt;0,C15&gt;0),0.208*C8+0.341*C15-43.935,"")</f>
        <v>4.4994999999999976</v>
      </c>
      <c r="U10" s="12">
        <f t="shared" si="2"/>
        <v>0.98900762292590194</v>
      </c>
      <c r="V10" s="13" t="str" cm="1">
        <f t="array" ref="V10">_xlfn.IFS(T10="","",T10&lt;-2.94,"F",AND(T10&gt;=-2.94,T10&lt;-1.73),"pF",AND(T10&gt;=-1.73,T10&lt;1.73),"ND",AND(T10&gt;=1.73,T10&lt;2.94),"pM",T10&gt;2.94,"M")</f>
        <v>M</v>
      </c>
      <c r="W10" s="14" t="str" cm="1">
        <f t="array" ref="W10">_xlfn.IFS(T10="","",T10&lt;0,"F",T10=0,"ND",T10&gt;0,"M")</f>
        <v>M</v>
      </c>
      <c r="X10" s="31" t="s">
        <v>128</v>
      </c>
      <c r="Y10" s="39"/>
    </row>
    <row r="11" spans="1:25" x14ac:dyDescent="0.25">
      <c r="A11" s="39"/>
      <c r="B11" s="5" t="s">
        <v>5</v>
      </c>
      <c r="C11" s="10"/>
      <c r="D11" s="58"/>
      <c r="E11" s="27" t="s">
        <v>5</v>
      </c>
      <c r="F11" s="28" t="str">
        <f>IF(C11&gt;0,0.521*C11-63.278,"")</f>
        <v/>
      </c>
      <c r="G11" s="12" t="str">
        <f t="shared" si="0"/>
        <v/>
      </c>
      <c r="H11" s="13" t="str" cm="1">
        <f t="array" ref="H11">_xlfn.IFS(F11="","",F11&lt;-2.94,"F",AND(F11&gt;=-2.94,F11&lt;-1.73),"pF",AND(F11&gt;=-1.73,F11&lt;1.73),"ND",AND(F11&gt;=1.73,F11&lt;2.94),"pM",F11&gt;2.94,"M")</f>
        <v/>
      </c>
      <c r="I11" s="14" t="str" cm="1">
        <f t="array" ref="I11">_xlfn.IFS(F11="","",F11&lt;0,"F",F11=0,"ND",F11&gt;0,"M")</f>
        <v/>
      </c>
      <c r="J11" s="29" t="s">
        <v>103</v>
      </c>
      <c r="K11" s="45"/>
      <c r="L11" s="30" t="s">
        <v>34</v>
      </c>
      <c r="M11" s="66">
        <f>IF(AND(C18&gt;0,C21&gt;0,C22&gt;0),0.534*C18+-0.282*C21+2.174*C22-26.599,"")</f>
        <v>2.2929999999999993</v>
      </c>
      <c r="N11" s="12">
        <f t="shared" si="1"/>
        <v>0.90829564034637389</v>
      </c>
      <c r="O11" s="13" t="str" cm="1">
        <f t="array" ref="O11">_xlfn.IFS(M11="","",M11&lt;-2.94,"F",AND(M11&gt;=-2.94,M11&lt;-1.73),"pF",AND(M11&gt;=-1.73,M11&lt;1.73),"ND",AND(M11&gt;=1.73,M11&lt;2.94),"pM",M11&gt;2.94,"M")</f>
        <v>pM</v>
      </c>
      <c r="P11" s="14" t="str" cm="1">
        <f t="array" ref="P11">_xlfn.IFS(M11="","",M11&lt;0,"F",M11=0,"ND",M11&gt;0,"M")</f>
        <v>M</v>
      </c>
      <c r="Q11" s="31" t="s">
        <v>85</v>
      </c>
      <c r="R11" s="45"/>
      <c r="S11" s="30" t="s">
        <v>52</v>
      </c>
      <c r="T11" s="66" t="str">
        <f>IF(AND(C11&gt;0,C12&gt;0,C14&gt;0),11.681*C11+-13.183*C12+14.198*C14-1013.141,"")</f>
        <v/>
      </c>
      <c r="U11" s="12" t="str">
        <f t="shared" si="2"/>
        <v/>
      </c>
      <c r="V11" s="13" t="str" cm="1">
        <f t="array" ref="V11">_xlfn.IFS(T11="","",T11&lt;-2.94,"F",AND(T11&gt;=-2.94,T11&lt;-1.73),"pF",AND(T11&gt;=-1.73,T11&lt;1.73),"ND",AND(T11&gt;=1.73,T11&lt;2.94),"pM",T11&gt;2.94,"M")</f>
        <v/>
      </c>
      <c r="W11" s="14" t="str" cm="1">
        <f t="array" ref="W11">_xlfn.IFS(T11="","",T11&lt;0,"F",T11=0,"ND",T11&gt;0,"M")</f>
        <v/>
      </c>
      <c r="X11" s="31" t="s">
        <v>129</v>
      </c>
      <c r="Y11" s="39"/>
    </row>
    <row r="12" spans="1:25" x14ac:dyDescent="0.25">
      <c r="A12" s="39"/>
      <c r="B12" s="5" t="s">
        <v>6</v>
      </c>
      <c r="C12" s="10">
        <v>74</v>
      </c>
      <c r="D12" s="58"/>
      <c r="E12" s="27" t="s">
        <v>6</v>
      </c>
      <c r="F12" s="28">
        <f>IF(C12&gt;0,0.104*C12-6.694,"")</f>
        <v>1.0019999999999998</v>
      </c>
      <c r="G12" s="12">
        <f t="shared" si="0"/>
        <v>0.73145162073397407</v>
      </c>
      <c r="H12" s="13" t="str" cm="1">
        <f t="array" ref="H12">_xlfn.IFS(F12="","",F12&lt;-2.94,"F",AND(F12&gt;=-2.94,F12&lt;-1.73),"pF",AND(F12&gt;=-1.73,F12&lt;1.73),"ND",AND(F12&gt;=1.73,F12&lt;2.94),"pM",F12&gt;2.94,"M")</f>
        <v>ND</v>
      </c>
      <c r="I12" s="14" t="str" cm="1">
        <f t="array" ref="I12">_xlfn.IFS(F12="","",F12&lt;0,"F",F12=0,"ND",F12&gt;0,"M")</f>
        <v>M</v>
      </c>
      <c r="J12" s="29" t="s">
        <v>104</v>
      </c>
      <c r="K12" s="45"/>
      <c r="L12" s="30" t="s">
        <v>35</v>
      </c>
      <c r="M12" s="66">
        <f>IF(AND(C16&gt;0,C23&gt;0),0.421*C16+1.887*C23-70.769,"")</f>
        <v>10.642499999999998</v>
      </c>
      <c r="N12" s="12">
        <f t="shared" si="1"/>
        <v>0.99997612130404023</v>
      </c>
      <c r="O12" s="13" t="str" cm="1">
        <f t="array" ref="O12">_xlfn.IFS(M12="","",M12&lt;-2.94,"F",AND(M12&gt;=-2.94,M12&lt;-1.73),"pF",AND(M12&gt;=-1.73,M12&lt;1.73),"ND",AND(M12&gt;=1.73,M12&lt;2.94),"pM",M12&gt;2.94,"M")</f>
        <v>M</v>
      </c>
      <c r="P12" s="14" t="str" cm="1">
        <f t="array" ref="P12">_xlfn.IFS(M12="","",M12&lt;0,"F",M12=0,"ND",M12&gt;0,"M")</f>
        <v>M</v>
      </c>
      <c r="Q12" s="31" t="s">
        <v>86</v>
      </c>
      <c r="R12" s="45"/>
      <c r="S12" s="30" t="s">
        <v>53</v>
      </c>
      <c r="T12" s="66">
        <f>IF(AND(C9&gt;0,C12&gt;0,C15&gt;0),0.3*C9+0.475*C12+0.362*C15-92.499,"")</f>
        <v>6.9960000000000093</v>
      </c>
      <c r="U12" s="12">
        <f t="shared" si="2"/>
        <v>0.99908530064271195</v>
      </c>
      <c r="V12" s="13" t="str" cm="1">
        <f t="array" ref="V12">_xlfn.IFS(T12="","",T12&lt;-2.94,"F",AND(T12&gt;=-2.94,T12&lt;-1.73),"pF",AND(T12&gt;=-1.73,T12&lt;1.73),"ND",AND(T12&gt;=1.73,T12&lt;2.94),"pM",T12&gt;2.94,"M")</f>
        <v>M</v>
      </c>
      <c r="W12" s="14" t="str" cm="1">
        <f t="array" ref="W12">_xlfn.IFS(T12="","",T12&lt;0,"F",T12=0,"ND",T12&gt;0,"M")</f>
        <v>M</v>
      </c>
      <c r="X12" s="31" t="s">
        <v>130</v>
      </c>
      <c r="Y12" s="39"/>
    </row>
    <row r="13" spans="1:25" x14ac:dyDescent="0.25">
      <c r="A13" s="39"/>
      <c r="B13" s="5" t="s">
        <v>7</v>
      </c>
      <c r="C13" s="10">
        <v>103</v>
      </c>
      <c r="D13" s="58"/>
      <c r="E13" s="27" t="s">
        <v>7</v>
      </c>
      <c r="F13" s="28">
        <f>IF(C13&gt;0,0.224*C13-20.085,"")</f>
        <v>2.9869999999999983</v>
      </c>
      <c r="G13" s="12">
        <f t="shared" si="0"/>
        <v>0.95198336282734408</v>
      </c>
      <c r="H13" s="13" t="str" cm="1">
        <f t="array" ref="H13">_xlfn.IFS(F13="","",F13&lt;-2.94,"F",AND(F13&gt;=-2.94,F13&lt;-1.73),"pF",AND(F13&gt;=-1.73,F13&lt;1.73),"ND",AND(F13&gt;=1.73,F13&lt;2.94),"pM",F13&gt;2.94,"M")</f>
        <v>M</v>
      </c>
      <c r="I13" s="14" t="str" cm="1">
        <f t="array" ref="I13">_xlfn.IFS(F13="","",F13&lt;0,"F",F13=0,"ND",F13&gt;0,"M")</f>
        <v>M</v>
      </c>
      <c r="J13" s="29" t="s">
        <v>105</v>
      </c>
      <c r="K13" s="45"/>
      <c r="L13" s="30" t="s">
        <v>36</v>
      </c>
      <c r="M13" s="66">
        <f>IF(AND(C16&gt;0,C18&gt;0,C19&gt;0),-0.562*C16+0.883*C18+1.928*C19-68.753,"")</f>
        <v>11.621999999999986</v>
      </c>
      <c r="N13" s="12">
        <f t="shared" si="1"/>
        <v>0.99999103344457818</v>
      </c>
      <c r="O13" s="13" t="str" cm="1">
        <f t="array" ref="O13">_xlfn.IFS(M13="","",M13&lt;-2.94,"F",AND(M13&gt;=-2.94,M13&lt;-1.73),"pF",AND(M13&gt;=-1.73,M13&lt;1.73),"ND",AND(M13&gt;=1.73,M13&lt;2.94),"pM",M13&gt;2.94,"M")</f>
        <v>M</v>
      </c>
      <c r="P13" s="14" t="str" cm="1">
        <f t="array" ref="P13">_xlfn.IFS(M13="","",M13&lt;0,"F",M13=0,"ND",M13&gt;0,"M")</f>
        <v>M</v>
      </c>
      <c r="Q13" s="31" t="s">
        <v>87</v>
      </c>
      <c r="R13" s="45"/>
      <c r="S13" s="30" t="s">
        <v>54</v>
      </c>
      <c r="T13" s="66">
        <f>IF(AND(C6&gt;0,C9&gt;0,C13&gt;0),0.495*C6+-0.028*C9+0.396*C13-122.001,"")</f>
        <v>5.8160000000000025</v>
      </c>
      <c r="U13" s="12">
        <f t="shared" si="2"/>
        <v>0.99702935170673557</v>
      </c>
      <c r="V13" s="13" t="str" cm="1">
        <f t="array" ref="V13">_xlfn.IFS(T13="","",T13&lt;-2.94,"F",AND(T13&gt;=-2.94,T13&lt;-1.73),"pF",AND(T13&gt;=-1.73,T13&lt;1.73),"ND",AND(T13&gt;=1.73,T13&lt;2.94),"pM",T13&gt;2.94,"M")</f>
        <v>M</v>
      </c>
      <c r="W13" s="14" t="str" cm="1">
        <f t="array" ref="W13">_xlfn.IFS(T13="","",T13&lt;0,"F",T13=0,"ND",T13&gt;0,"M")</f>
        <v>M</v>
      </c>
      <c r="X13" s="31" t="s">
        <v>131</v>
      </c>
      <c r="Y13" s="39"/>
    </row>
    <row r="14" spans="1:25" ht="14.25" thickBot="1" x14ac:dyDescent="0.3">
      <c r="A14" s="39"/>
      <c r="B14" s="5" t="s">
        <v>8</v>
      </c>
      <c r="C14" s="10">
        <v>29</v>
      </c>
      <c r="D14" s="58"/>
      <c r="E14" s="27" t="s">
        <v>8</v>
      </c>
      <c r="F14" s="28">
        <f>IF(C14&gt;0,0.251*C14-7.353,"")</f>
        <v>-7.3999999999999844E-2</v>
      </c>
      <c r="G14" s="12">
        <f t="shared" si="0"/>
        <v>0.48150843754629652</v>
      </c>
      <c r="H14" s="13" t="str" cm="1">
        <f t="array" ref="H14">_xlfn.IFS(F14="","",F14&lt;-2.94,"F",AND(F14&gt;=-2.94,F14&lt;-1.73),"pF",AND(F14&gt;=-1.73,F14&lt;1.73),"ND",AND(F14&gt;=1.73,F14&lt;2.94),"pM",F14&gt;2.94,"M")</f>
        <v>ND</v>
      </c>
      <c r="I14" s="14" t="str" cm="1">
        <f t="array" ref="I14">_xlfn.IFS(F14="","",F14&lt;0,"F",F14=0,"ND",F14&gt;0,"M")</f>
        <v>F</v>
      </c>
      <c r="J14" s="29" t="s">
        <v>106</v>
      </c>
      <c r="K14" s="45"/>
      <c r="L14" s="32" t="s">
        <v>37</v>
      </c>
      <c r="M14" s="33">
        <f>IF(AND(C19&gt;0,C21&gt;0,C22&gt;0),1.07*C19+-0.64*C21+1.906*C22-51.735,"")</f>
        <v>7.7740000000000009</v>
      </c>
      <c r="N14" s="15">
        <f t="shared" si="1"/>
        <v>0.99957964898233431</v>
      </c>
      <c r="O14" s="16" t="str" cm="1">
        <f t="array" ref="O14">_xlfn.IFS(M14="","",M14&lt;-2.94,"F",AND(M14&gt;=-2.94,M14&lt;-1.73),"pF",AND(M14&gt;=-1.73,M14&lt;1.73),"ND",AND(M14&gt;=1.73,M14&lt;2.94),"pM",M14&gt;2.94,"M")</f>
        <v>M</v>
      </c>
      <c r="P14" s="17" t="str" cm="1">
        <f t="array" ref="P14">_xlfn.IFS(M14="","",M14&lt;0,"F",M14=0,"ND",M14&gt;0,"M")</f>
        <v>M</v>
      </c>
      <c r="Q14" s="34" t="s">
        <v>88</v>
      </c>
      <c r="R14" s="45"/>
      <c r="S14" s="32" t="s">
        <v>55</v>
      </c>
      <c r="T14" s="33">
        <f>IF(AND(C6&gt;0,C10&gt;0,C13&gt;0),0.294*C6+0.295*C10+0.167*C13-98.322,"")</f>
        <v>4.5409999999999968</v>
      </c>
      <c r="U14" s="15">
        <f t="shared" si="2"/>
        <v>0.98944975601068397</v>
      </c>
      <c r="V14" s="16" t="str" cm="1">
        <f t="array" ref="V14">_xlfn.IFS(T14="","",T14&lt;-2.94,"F",AND(T14&gt;=-2.94,T14&lt;-1.73),"pF",AND(T14&gt;=-1.73,T14&lt;1.73),"ND",AND(T14&gt;=1.73,T14&lt;2.94),"pM",T14&gt;2.94,"M")</f>
        <v>M</v>
      </c>
      <c r="W14" s="17" t="str" cm="1">
        <f t="array" ref="W14">_xlfn.IFS(T14="","",T14&lt;0,"F",T14=0,"ND",T14&gt;0,"M")</f>
        <v>M</v>
      </c>
      <c r="X14" s="34" t="s">
        <v>132</v>
      </c>
      <c r="Y14" s="39"/>
    </row>
    <row r="15" spans="1:25" ht="15" thickTop="1" thickBot="1" x14ac:dyDescent="0.3">
      <c r="A15" s="39"/>
      <c r="B15" s="5" t="s">
        <v>9</v>
      </c>
      <c r="C15" s="10">
        <v>72.5</v>
      </c>
      <c r="D15" s="58"/>
      <c r="E15" s="27" t="s">
        <v>9</v>
      </c>
      <c r="F15" s="28">
        <f>IF(C15&gt;0,0.184*C15-10.993,"")</f>
        <v>2.3469999999999995</v>
      </c>
      <c r="G15" s="12">
        <f t="shared" si="0"/>
        <v>0.91269547600159262</v>
      </c>
      <c r="H15" s="13" t="str" cm="1">
        <f t="array" ref="H15">_xlfn.IFS(F15="","",F15&lt;-2.94,"F",AND(F15&gt;=-2.94,F15&lt;-1.73),"pF",AND(F15&gt;=-1.73,F15&lt;1.73),"ND",AND(F15&gt;=1.73,F15&lt;2.94),"pM",F15&gt;2.94,"M")</f>
        <v>pM</v>
      </c>
      <c r="I15" s="14" t="str" cm="1">
        <f t="array" ref="I15">_xlfn.IFS(F15="","",F15&lt;0,"F",F15=0,"ND",F15&gt;0,"M")</f>
        <v>M</v>
      </c>
      <c r="J15" s="29" t="s">
        <v>107</v>
      </c>
      <c r="K15" s="39"/>
      <c r="L15" s="47"/>
      <c r="M15" s="48"/>
      <c r="N15" s="49"/>
      <c r="O15" s="50"/>
      <c r="P15" s="51"/>
      <c r="Q15" s="52"/>
      <c r="R15" s="45"/>
      <c r="S15" s="45"/>
      <c r="T15" s="45"/>
      <c r="U15" s="45"/>
      <c r="V15" s="45"/>
      <c r="W15" s="45"/>
      <c r="X15" s="45"/>
      <c r="Y15" s="39"/>
    </row>
    <row r="16" spans="1:25" ht="15" thickTop="1" thickBot="1" x14ac:dyDescent="0.3">
      <c r="A16" s="39"/>
      <c r="B16" s="5" t="s">
        <v>10</v>
      </c>
      <c r="C16" s="10">
        <v>36.5</v>
      </c>
      <c r="D16" s="58"/>
      <c r="E16" s="27" t="s">
        <v>10</v>
      </c>
      <c r="F16" s="28">
        <f>IF(C16&gt;0,0.95*C16-32.304,"")</f>
        <v>2.3709999999999951</v>
      </c>
      <c r="G16" s="12">
        <f t="shared" si="0"/>
        <v>0.91458900891181583</v>
      </c>
      <c r="H16" s="13" t="str" cm="1">
        <f t="array" ref="H16">_xlfn.IFS(F16="","",F16&lt;-2.94,"F",AND(F16&gt;=-2.94,F16&lt;-1.73),"pF",AND(F16&gt;=-1.73,F16&lt;1.73),"ND",AND(F16&gt;=1.73,F16&lt;2.94),"pM",F16&gt;2.94,"M")</f>
        <v>pM</v>
      </c>
      <c r="I16" s="14" t="str" cm="1">
        <f t="array" ref="I16">_xlfn.IFS(F16="","",F16&lt;0,"F",F16=0,"ND",F16&gt;0,"M")</f>
        <v>M</v>
      </c>
      <c r="J16" s="29" t="s">
        <v>108</v>
      </c>
      <c r="K16" s="45"/>
      <c r="L16" s="73" t="s">
        <v>144</v>
      </c>
      <c r="M16" s="74"/>
      <c r="N16" s="74"/>
      <c r="O16" s="74"/>
      <c r="P16" s="74"/>
      <c r="Q16" s="75"/>
      <c r="R16" s="45"/>
      <c r="S16" s="73" t="s">
        <v>146</v>
      </c>
      <c r="T16" s="74"/>
      <c r="U16" s="74"/>
      <c r="V16" s="74"/>
      <c r="W16" s="74"/>
      <c r="X16" s="75"/>
      <c r="Y16" s="39"/>
    </row>
    <row r="17" spans="1:25" ht="14.25" thickTop="1" x14ac:dyDescent="0.25">
      <c r="A17" s="39"/>
      <c r="B17" s="5" t="s">
        <v>11</v>
      </c>
      <c r="C17" s="10">
        <v>21</v>
      </c>
      <c r="D17" s="58"/>
      <c r="E17" s="27" t="s">
        <v>11</v>
      </c>
      <c r="F17" s="28">
        <f>IF(C17&gt;0,0.957*C17-18.785,"")</f>
        <v>1.3119999999999976</v>
      </c>
      <c r="G17" s="12">
        <f t="shared" si="0"/>
        <v>0.78784763580160477</v>
      </c>
      <c r="H17" s="13" t="str" cm="1">
        <f t="array" ref="H17">_xlfn.IFS(F17="","",F17&lt;-2.94,"F",AND(F17&gt;=-2.94,F17&lt;-1.73),"pF",AND(F17&gt;=-1.73,F17&lt;1.73),"ND",AND(F17&gt;=1.73,F17&lt;2.94),"pM",F17&gt;2.94,"M")</f>
        <v>ND</v>
      </c>
      <c r="I17" s="14" t="str" cm="1">
        <f t="array" ref="I17">_xlfn.IFS(F17="","",F17&lt;0,"F",F17=0,"ND",F17&gt;0,"M")</f>
        <v>M</v>
      </c>
      <c r="J17" s="29" t="s">
        <v>109</v>
      </c>
      <c r="K17" s="45"/>
      <c r="L17" s="22" t="s">
        <v>28</v>
      </c>
      <c r="M17" s="23" t="s">
        <v>136</v>
      </c>
      <c r="N17" s="24" t="s">
        <v>138</v>
      </c>
      <c r="O17" s="24" t="s">
        <v>26</v>
      </c>
      <c r="P17" s="24" t="s">
        <v>27</v>
      </c>
      <c r="Q17" s="25" t="s">
        <v>139</v>
      </c>
      <c r="R17" s="45"/>
      <c r="S17" s="26" t="s">
        <v>28</v>
      </c>
      <c r="T17" s="23" t="s">
        <v>136</v>
      </c>
      <c r="U17" s="24" t="s">
        <v>138</v>
      </c>
      <c r="V17" s="24" t="s">
        <v>26</v>
      </c>
      <c r="W17" s="24" t="s">
        <v>27</v>
      </c>
      <c r="X17" s="25" t="s">
        <v>139</v>
      </c>
      <c r="Y17" s="39"/>
    </row>
    <row r="18" spans="1:25" x14ac:dyDescent="0.25">
      <c r="A18" s="39"/>
      <c r="B18" s="5" t="s">
        <v>12</v>
      </c>
      <c r="C18" s="10">
        <v>16</v>
      </c>
      <c r="D18" s="58"/>
      <c r="E18" s="27" t="s">
        <v>12</v>
      </c>
      <c r="F18" s="28">
        <f>IF(C18&gt;0,1.48*C18-21.941,"")</f>
        <v>1.7390000000000008</v>
      </c>
      <c r="G18" s="12">
        <f t="shared" si="0"/>
        <v>0.85056000233823581</v>
      </c>
      <c r="H18" s="13" t="str" cm="1">
        <f t="array" ref="H18">_xlfn.IFS(F18="","",F18&lt;-2.94,"F",AND(F18&gt;=-2.94,F18&lt;-1.73),"pF",AND(F18&gt;=-1.73,F18&lt;1.73),"ND",AND(F18&gt;=1.73,F18&lt;2.94),"pM",F18&gt;2.94,"M")</f>
        <v>pM</v>
      </c>
      <c r="I18" s="14" t="str" cm="1">
        <f t="array" ref="I18">_xlfn.IFS(F18="","",F18&lt;0,"F",F18=0,"ND",F18&gt;0,"M")</f>
        <v>M</v>
      </c>
      <c r="J18" s="29" t="s">
        <v>110</v>
      </c>
      <c r="K18" s="45"/>
      <c r="L18" s="30" t="s">
        <v>38</v>
      </c>
      <c r="M18" s="66" t="str">
        <f>IF(AND(C24&gt;0,C31&gt;0),0.144*C24+1.091*C31-114.142,"")</f>
        <v/>
      </c>
      <c r="N18" s="12" t="str">
        <f t="shared" ref="N18:N26" si="3">IF(ISNUMBER(M18),1/(1+EXP(-M18)),"")</f>
        <v/>
      </c>
      <c r="O18" s="13" t="str" cm="1">
        <f t="array" ref="O18">_xlfn.IFS(M18="","",M18&lt;-2.94,"F",AND(M18&gt;=-2.94,M18&lt;-1.73),"pF",AND(M18&gt;=-1.73,M18&lt;1.73),"ND",AND(M18&gt;=1.73,M18&lt;2.94),"pM",M18&gt;2.94,"M")</f>
        <v/>
      </c>
      <c r="P18" s="14" t="str" cm="1">
        <f t="array" ref="P18">_xlfn.IFS(M18="","",M18&lt;0,"F",M18=0,"ND",M18&gt;0,"M")</f>
        <v/>
      </c>
      <c r="Q18" s="31" t="s">
        <v>89</v>
      </c>
      <c r="R18" s="45"/>
      <c r="S18" s="30" t="s">
        <v>56</v>
      </c>
      <c r="T18" s="66">
        <f>IF(AND(C7&gt;0,C31&gt;0),0.116*C7 + 11.381*C31 - 567.377,"")</f>
        <v>86.78550000000007</v>
      </c>
      <c r="U18" s="12">
        <f t="shared" ref="U18:U29" si="4">IF(ISNUMBER(T18),1/(1+EXP(-T18)),"")</f>
        <v>1</v>
      </c>
      <c r="V18" s="13" t="str" cm="1">
        <f t="array" ref="V18">_xlfn.IFS(T18="","",T18&lt;-2.94,"F",AND(T18&gt;=-2.94,T18&lt;-1.73),"pF",AND(T18&gt;=-1.73,T18&lt;1.73),"ND",AND(T18&gt;=1.73,T18&lt;2.94),"pM",T18&gt;2.94,"M")</f>
        <v>M</v>
      </c>
      <c r="W18" s="14" t="str" cm="1">
        <f t="array" ref="W18">_xlfn.IFS(T18="","",T18&lt;0,"F",T18=0,"ND",T18&gt;0,"M")</f>
        <v>M</v>
      </c>
      <c r="X18" s="31" t="s">
        <v>68</v>
      </c>
      <c r="Y18" s="39"/>
    </row>
    <row r="19" spans="1:25" x14ac:dyDescent="0.25">
      <c r="A19" s="39"/>
      <c r="B19" s="5" t="s">
        <v>13</v>
      </c>
      <c r="C19" s="10">
        <v>45</v>
      </c>
      <c r="D19" s="58"/>
      <c r="E19" s="27" t="s">
        <v>13</v>
      </c>
      <c r="F19" s="28">
        <f>IF(C19&gt;0,1.439*C19-56.202,"")</f>
        <v>8.5529999999999973</v>
      </c>
      <c r="G19" s="12">
        <f t="shared" si="0"/>
        <v>0.99980707189409446</v>
      </c>
      <c r="H19" s="13" t="str" cm="1">
        <f t="array" ref="H19">_xlfn.IFS(F19="","",F19&lt;-2.94,"F",AND(F19&gt;=-2.94,F19&lt;-1.73),"pF",AND(F19&gt;=-1.73,F19&lt;1.73),"ND",AND(F19&gt;=1.73,F19&lt;2.94),"pM",F19&gt;2.94,"M")</f>
        <v>M</v>
      </c>
      <c r="I19" s="14" t="str" cm="1">
        <f t="array" ref="I19">_xlfn.IFS(F19="","",F19&lt;0,"F",F19=0,"ND",F19&gt;0,"M")</f>
        <v>M</v>
      </c>
      <c r="J19" s="29" t="s">
        <v>111</v>
      </c>
      <c r="K19" s="45"/>
      <c r="L19" s="30" t="s">
        <v>39</v>
      </c>
      <c r="M19" s="66">
        <f>IF(AND(C28&gt;0,C31&gt;0),0.105*C28+0.667*C31-69.558,"")</f>
        <v>9.917500000000004</v>
      </c>
      <c r="N19" s="12">
        <f t="shared" si="3"/>
        <v>0.99995069816729421</v>
      </c>
      <c r="O19" s="13" t="str" cm="1">
        <f t="array" ref="O19">_xlfn.IFS(M19="","",M19&lt;-2.94,"F",AND(M19&gt;=-2.94,M19&lt;-1.73),"pF",AND(M19&gt;=-1.73,M19&lt;1.73),"ND",AND(M19&gt;=1.73,M19&lt;2.94),"pM",M19&gt;2.94,"M")</f>
        <v>M</v>
      </c>
      <c r="P19" s="14" t="str" cm="1">
        <f t="array" ref="P19">_xlfn.IFS(M19="","",M19&lt;0,"F",M19=0,"ND",M19&gt;0,"M")</f>
        <v>M</v>
      </c>
      <c r="Q19" s="31" t="s">
        <v>90</v>
      </c>
      <c r="R19" s="45"/>
      <c r="S19" s="30" t="s">
        <v>57</v>
      </c>
      <c r="T19" s="66">
        <f>IF(AND(C8&gt;0,C31&gt;0),0.112*C8 + 16.278*C31 - 809.136,"")</f>
        <v>123.33899999999994</v>
      </c>
      <c r="U19" s="12">
        <f t="shared" si="4"/>
        <v>1</v>
      </c>
      <c r="V19" s="13" t="str" cm="1">
        <f t="array" ref="V19">_xlfn.IFS(T19="","",T19&lt;-2.94,"F",AND(T19&gt;=-2.94,T19&lt;-1.73),"pF",AND(T19&gt;=-1.73,T19&lt;1.73),"ND",AND(T19&gt;=1.73,T19&lt;2.94),"pM",T19&gt;2.94,"M")</f>
        <v>M</v>
      </c>
      <c r="W19" s="14" t="str" cm="1">
        <f t="array" ref="W19">_xlfn.IFS(T19="","",T19&lt;0,"F",T19=0,"ND",T19&gt;0,"M")</f>
        <v>M</v>
      </c>
      <c r="X19" s="31" t="s">
        <v>69</v>
      </c>
      <c r="Y19" s="39"/>
    </row>
    <row r="20" spans="1:25" x14ac:dyDescent="0.25">
      <c r="A20" s="39"/>
      <c r="B20" s="5" t="s">
        <v>14</v>
      </c>
      <c r="C20" s="10">
        <v>50.5</v>
      </c>
      <c r="D20" s="58"/>
      <c r="E20" s="27" t="s">
        <v>14</v>
      </c>
      <c r="F20" s="28">
        <f>IF(C20&gt;0,0.716*C20-29.371,"")</f>
        <v>6.7870000000000026</v>
      </c>
      <c r="G20" s="12">
        <f t="shared" si="0"/>
        <v>0.99887292298801234</v>
      </c>
      <c r="H20" s="13" t="str" cm="1">
        <f t="array" ref="H20">_xlfn.IFS(F20="","",F20&lt;-2.94,"F",AND(F20&gt;=-2.94,F20&lt;-1.73),"pF",AND(F20&gt;=-1.73,F20&lt;1.73),"ND",AND(F20&gt;=1.73,F20&lt;2.94),"pM",F20&gt;2.94,"M")</f>
        <v>M</v>
      </c>
      <c r="I20" s="14" t="str" cm="1">
        <f t="array" ref="I20">_xlfn.IFS(F20="","",F20&lt;0,"F",F20=0,"ND",F20&gt;0,"M")</f>
        <v>M</v>
      </c>
      <c r="J20" s="29" t="s">
        <v>112</v>
      </c>
      <c r="K20" s="45"/>
      <c r="L20" s="30" t="s">
        <v>40</v>
      </c>
      <c r="M20" s="66">
        <f>IF(AND(C25&gt;0,C26&gt;0),0.263*C25+1.124*C26-54.747,"")</f>
        <v>7.4300000000000068</v>
      </c>
      <c r="N20" s="12">
        <f t="shared" si="3"/>
        <v>0.99940716415091491</v>
      </c>
      <c r="O20" s="13" t="str" cm="1">
        <f t="array" ref="O20">_xlfn.IFS(M20="","",M20&lt;-2.94,"F",AND(M20&gt;=-2.94,M20&lt;-1.73),"pF",AND(M20&gt;=-1.73,M20&lt;1.73),"ND",AND(M20&gt;=1.73,M20&lt;2.94),"pM",M20&gt;2.94,"M")</f>
        <v>M</v>
      </c>
      <c r="P20" s="14" t="str" cm="1">
        <f t="array" ref="P20">_xlfn.IFS(M20="","",M20&lt;0,"F",M20=0,"ND",M20&gt;0,"M")</f>
        <v>M</v>
      </c>
      <c r="Q20" s="31" t="s">
        <v>91</v>
      </c>
      <c r="R20" s="45"/>
      <c r="S20" s="30" t="s">
        <v>58</v>
      </c>
      <c r="T20" s="66">
        <f>IF(AND(C6&gt;0,C31&gt;0),17.637*C6 + 139.564*C31 - 9983.487,"")</f>
        <v>1129.4500000000007</v>
      </c>
      <c r="U20" s="12">
        <f t="shared" si="4"/>
        <v>1</v>
      </c>
      <c r="V20" s="13" t="str" cm="1">
        <f t="array" ref="V20">_xlfn.IFS(T20="","",T20&lt;-2.94,"F",AND(T20&gt;=-2.94,T20&lt;-1.73),"pF",AND(T20&gt;=-1.73,T20&lt;1.73),"ND",AND(T20&gt;=1.73,T20&lt;2.94),"pM",T20&gt;2.94,"M")</f>
        <v>M</v>
      </c>
      <c r="W20" s="14" t="str" cm="1">
        <f t="array" ref="W20">_xlfn.IFS(T20="","",T20&lt;0,"F",T20=0,"ND",T20&gt;0,"M")</f>
        <v>M</v>
      </c>
      <c r="X20" s="31" t="s">
        <v>70</v>
      </c>
      <c r="Y20" s="39"/>
    </row>
    <row r="21" spans="1:25" x14ac:dyDescent="0.25">
      <c r="A21" s="39"/>
      <c r="B21" s="5" t="s">
        <v>15</v>
      </c>
      <c r="C21" s="10">
        <v>16.5</v>
      </c>
      <c r="D21" s="58"/>
      <c r="E21" s="27" t="s">
        <v>15</v>
      </c>
      <c r="F21" s="28">
        <f>IF(C21&gt;0,1.172*C21-16.304,"")</f>
        <v>3.0339999999999989</v>
      </c>
      <c r="G21" s="12">
        <f t="shared" si="0"/>
        <v>0.95408671259929667</v>
      </c>
      <c r="H21" s="13" t="str" cm="1">
        <f t="array" ref="H21">_xlfn.IFS(F21="","",F21&lt;-2.94,"F",AND(F21&gt;=-2.94,F21&lt;-1.73),"pF",AND(F21&gt;=-1.73,F21&lt;1.73),"ND",AND(F21&gt;=1.73,F21&lt;2.94),"pM",F21&gt;2.94,"M")</f>
        <v>M</v>
      </c>
      <c r="I21" s="14" t="str" cm="1">
        <f t="array" ref="I21">_xlfn.IFS(F21="","",F21&lt;0,"F",F21=0,"ND",F21&gt;0,"M")</f>
        <v>M</v>
      </c>
      <c r="J21" s="29" t="s">
        <v>113</v>
      </c>
      <c r="K21" s="45"/>
      <c r="L21" s="30" t="s">
        <v>41</v>
      </c>
      <c r="M21" s="66">
        <f>IF(AND(C26&gt;0,C31&gt;0),0.88*C26+0.743*C31-72.77,"")</f>
        <v>12.32950000000001</v>
      </c>
      <c r="N21" s="12">
        <f t="shared" si="3"/>
        <v>0.99999558059028493</v>
      </c>
      <c r="O21" s="13" t="str" cm="1">
        <f t="array" ref="O21">_xlfn.IFS(M21="","",M21&lt;-2.94,"F",AND(M21&gt;=-2.94,M21&lt;-1.73),"pF",AND(M21&gt;=-1.73,M21&lt;1.73),"ND",AND(M21&gt;=1.73,M21&lt;2.94),"pM",M21&gt;2.94,"M")</f>
        <v>M</v>
      </c>
      <c r="P21" s="14" t="str" cm="1">
        <f t="array" ref="P21">_xlfn.IFS(M21="","",M21&lt;0,"F",M21=0,"ND",M21&gt;0,"M")</f>
        <v>M</v>
      </c>
      <c r="Q21" s="31" t="s">
        <v>92</v>
      </c>
      <c r="R21" s="45"/>
      <c r="S21" s="30" t="s">
        <v>59</v>
      </c>
      <c r="T21" s="66">
        <f>IF(AND(C10&gt;0,C31&gt;0),5.852*C10 + 27.325*C31 - 1921.511,"")</f>
        <v>254.36749999999984</v>
      </c>
      <c r="U21" s="12">
        <f t="shared" si="4"/>
        <v>1</v>
      </c>
      <c r="V21" s="13" t="str" cm="1">
        <f t="array" ref="V21">_xlfn.IFS(T21="","",T21&lt;-2.94,"F",AND(T21&gt;=-2.94,T21&lt;-1.73),"pF",AND(T21&gt;=-1.73,T21&lt;1.73),"ND",AND(T21&gt;=1.73,T21&lt;2.94),"pM",T21&gt;2.94,"M")</f>
        <v>M</v>
      </c>
      <c r="W21" s="14" t="str" cm="1">
        <f t="array" ref="W21">_xlfn.IFS(T21="","",T21&lt;0,"F",T21=0,"ND",T21&gt;0,"M")</f>
        <v>M</v>
      </c>
      <c r="X21" s="31" t="s">
        <v>71</v>
      </c>
      <c r="Y21" s="39"/>
    </row>
    <row r="22" spans="1:25" x14ac:dyDescent="0.25">
      <c r="A22" s="39"/>
      <c r="B22" s="5" t="s">
        <v>16</v>
      </c>
      <c r="C22" s="10">
        <v>11.5</v>
      </c>
      <c r="D22" s="58"/>
      <c r="E22" s="27" t="s">
        <v>16</v>
      </c>
      <c r="F22" s="28">
        <f>IF(C22&gt;0,2.876*C22-29.802,"")</f>
        <v>3.2719999999999985</v>
      </c>
      <c r="G22" s="12">
        <f t="shared" si="0"/>
        <v>0.96345565474569272</v>
      </c>
      <c r="H22" s="13" t="str" cm="1">
        <f t="array" ref="H22">_xlfn.IFS(F22="","",F22&lt;-2.94,"F",AND(F22&gt;=-2.94,F22&lt;-1.73),"pF",AND(F22&gt;=-1.73,F22&lt;1.73),"ND",AND(F22&gt;=1.73,F22&lt;2.94),"pM",F22&gt;2.94,"M")</f>
        <v>M</v>
      </c>
      <c r="I22" s="14" t="str" cm="1">
        <f t="array" ref="I22">_xlfn.IFS(F22="","",F22&lt;0,"F",F22=0,"ND",F22&gt;0,"M")</f>
        <v>M</v>
      </c>
      <c r="J22" s="29" t="s">
        <v>114</v>
      </c>
      <c r="K22" s="45"/>
      <c r="L22" s="30" t="s">
        <v>42</v>
      </c>
      <c r="M22" s="66">
        <f>IF(AND(C25&gt;0,C28&gt;0,C31&gt;0),2.671*C25+-0.076*C28+2.828*C31-181.265,"")</f>
        <v>20.385999999999996</v>
      </c>
      <c r="N22" s="12">
        <f t="shared" si="3"/>
        <v>0.99999999859888855</v>
      </c>
      <c r="O22" s="13" t="str" cm="1">
        <f t="array" ref="O22">_xlfn.IFS(M22="","",M22&lt;-2.94,"F",AND(M22&gt;=-2.94,M22&lt;-1.73),"pF",AND(M22&gt;=-1.73,M22&lt;1.73),"ND",AND(M22&gt;=1.73,M22&lt;2.94),"pM",M22&gt;2.94,"M")</f>
        <v>M</v>
      </c>
      <c r="P22" s="14" t="str" cm="1">
        <f t="array" ref="P22">_xlfn.IFS(M22="","",M22&lt;0,"F",M22=0,"ND",M22&gt;0,"M")</f>
        <v>M</v>
      </c>
      <c r="Q22" s="31" t="s">
        <v>93</v>
      </c>
      <c r="R22" s="45"/>
      <c r="S22" s="30" t="s">
        <v>60</v>
      </c>
      <c r="T22" s="66">
        <f>IF(AND(C10&gt;0,C18&gt;0,C31&gt;0),4.959*C10 - 4.451*C18+18.158*C31 - 1316.058,"")</f>
        <v>174.22500000000014</v>
      </c>
      <c r="U22" s="12">
        <f t="shared" si="4"/>
        <v>1</v>
      </c>
      <c r="V22" s="13" t="str" cm="1">
        <f t="array" ref="V22">_xlfn.IFS(T22="","",T22&lt;-2.94,"F",AND(T22&gt;=-2.94,T22&lt;-1.73),"pF",AND(T22&gt;=-1.73,T22&lt;1.73),"ND",AND(T22&gt;=1.73,T22&lt;2.94),"pM",T22&gt;2.94,"M")</f>
        <v>M</v>
      </c>
      <c r="W22" s="14" t="str" cm="1">
        <f t="array" ref="W22">_xlfn.IFS(T22="","",T22&lt;0,"F",T22=0,"ND",T22&gt;0,"M")</f>
        <v>M</v>
      </c>
      <c r="X22" s="31" t="s">
        <v>72</v>
      </c>
      <c r="Y22" s="39"/>
    </row>
    <row r="23" spans="1:25" x14ac:dyDescent="0.25">
      <c r="A23" s="39"/>
      <c r="B23" s="5" t="s">
        <v>17</v>
      </c>
      <c r="C23" s="10">
        <v>35</v>
      </c>
      <c r="D23" s="58"/>
      <c r="E23" s="27" t="s">
        <v>17</v>
      </c>
      <c r="F23" s="28">
        <f>IF(C23&gt;0,0.913*C23-27.823,"")</f>
        <v>4.1320000000000014</v>
      </c>
      <c r="G23" s="12">
        <f t="shared" si="0"/>
        <v>0.98420281143934218</v>
      </c>
      <c r="H23" s="13" t="str" cm="1">
        <f t="array" ref="H23">_xlfn.IFS(F23="","",F23&lt;-2.94,"F",AND(F23&gt;=-2.94,F23&lt;-1.73),"pF",AND(F23&gt;=-1.73,F23&lt;1.73),"ND",AND(F23&gt;=1.73,F23&lt;2.94),"pM",F23&gt;2.94,"M")</f>
        <v>M</v>
      </c>
      <c r="I23" s="14" t="str" cm="1">
        <f t="array" ref="I23">_xlfn.IFS(F23="","",F23&lt;0,"F",F23=0,"ND",F23&gt;0,"M")</f>
        <v>M</v>
      </c>
      <c r="J23" s="29" t="s">
        <v>115</v>
      </c>
      <c r="K23" s="45"/>
      <c r="L23" s="30" t="s">
        <v>43</v>
      </c>
      <c r="M23" s="66">
        <f>IF(AND(C25&gt;0,C30&gt;0,C31&gt;0),1.283*C25+0.299*C30+1.162*C31-97.447,"")</f>
        <v>9.8734999999999786</v>
      </c>
      <c r="N23" s="12">
        <f t="shared" si="3"/>
        <v>0.9999484805690142</v>
      </c>
      <c r="O23" s="13" t="str" cm="1">
        <f t="array" ref="O23">_xlfn.IFS(M23="","",M23&lt;-2.94,"F",AND(M23&gt;=-2.94,M23&lt;-1.73),"pF",AND(M23&gt;=-1.73,M23&lt;1.73),"ND",AND(M23&gt;=1.73,M23&lt;2.94),"pM",M23&gt;2.94,"M")</f>
        <v>M</v>
      </c>
      <c r="P23" s="14" t="str" cm="1">
        <f t="array" ref="P23">_xlfn.IFS(M23="","",M23&lt;0,"F",M23=0,"ND",M23&gt;0,"M")</f>
        <v>M</v>
      </c>
      <c r="Q23" s="31" t="s">
        <v>94</v>
      </c>
      <c r="R23" s="45"/>
      <c r="S23" s="30" t="s">
        <v>61</v>
      </c>
      <c r="T23" s="66">
        <f>IF(AND(C10&gt;0,C17&gt;0,C31&gt;0),4.241*C10 + 2.531*C17 + 17.606*C31 - 1339.822,"")</f>
        <v>166.09600000000023</v>
      </c>
      <c r="U23" s="12">
        <f t="shared" si="4"/>
        <v>1</v>
      </c>
      <c r="V23" s="13" t="str" cm="1">
        <f t="array" ref="V23">_xlfn.IFS(T23="","",T23&lt;-2.94,"F",AND(T23&gt;=-2.94,T23&lt;-1.73),"pF",AND(T23&gt;=-1.73,T23&lt;1.73),"ND",AND(T23&gt;=1.73,T23&lt;2.94),"pM",T23&gt;2.94,"M")</f>
        <v>M</v>
      </c>
      <c r="W23" s="14" t="str" cm="1">
        <f t="array" ref="W23">_xlfn.IFS(T23="","",T23&lt;0,"F",T23=0,"ND",T23&gt;0,"M")</f>
        <v>M</v>
      </c>
      <c r="X23" s="31" t="s">
        <v>73</v>
      </c>
      <c r="Y23" s="39"/>
    </row>
    <row r="24" spans="1:25" x14ac:dyDescent="0.25">
      <c r="A24" s="39"/>
      <c r="B24" s="5" t="s">
        <v>18</v>
      </c>
      <c r="C24" s="10"/>
      <c r="D24" s="58"/>
      <c r="E24" s="27" t="s">
        <v>18</v>
      </c>
      <c r="F24" s="28" t="str">
        <f>IF(C24&gt;0,0.106*C24-45.532,"")</f>
        <v/>
      </c>
      <c r="G24" s="12" t="str">
        <f t="shared" si="0"/>
        <v/>
      </c>
      <c r="H24" s="13" t="str" cm="1">
        <f t="array" ref="H24">_xlfn.IFS(F24="","",F24&lt;-2.94,"F",AND(F24&gt;=-2.94,F24&lt;-1.73),"pF",AND(F24&gt;=-1.73,F24&lt;1.73),"ND",AND(F24&gt;=1.73,F24&lt;2.94),"pM",F24&gt;2.94,"M")</f>
        <v/>
      </c>
      <c r="I24" s="14" t="str" cm="1">
        <f t="array" ref="I24">_xlfn.IFS(F24="","",F24&lt;0,"F",F24=0,"ND",F24&gt;0,"M")</f>
        <v/>
      </c>
      <c r="J24" s="29" t="s">
        <v>116</v>
      </c>
      <c r="K24" s="45"/>
      <c r="L24" s="30" t="s">
        <v>44</v>
      </c>
      <c r="M24" s="66">
        <f>IF(AND(C26&gt;0,C29&gt;0,C31&gt;0),0.491*C26+0.698*C29+0.509*C31-67.745,"")</f>
        <v>8.8044999999999902</v>
      </c>
      <c r="N24" s="12">
        <f t="shared" si="3"/>
        <v>0.99984996621337163</v>
      </c>
      <c r="O24" s="13" t="str" cm="1">
        <f t="array" ref="O24">_xlfn.IFS(M24="","",M24&lt;-2.94,"F",AND(M24&gt;=-2.94,M24&lt;-1.73),"pF",AND(M24&gt;=-1.73,M24&lt;1.73),"ND",AND(M24&gt;=1.73,M24&lt;2.94),"pM",M24&gt;2.94,"M")</f>
        <v>M</v>
      </c>
      <c r="P24" s="14" t="str" cm="1">
        <f t="array" ref="P24">_xlfn.IFS(M24="","",M24&lt;0,"F",M24=0,"ND",M24&gt;0,"M")</f>
        <v>M</v>
      </c>
      <c r="Q24" s="31" t="s">
        <v>95</v>
      </c>
      <c r="R24" s="45"/>
      <c r="S24" s="30" t="s">
        <v>62</v>
      </c>
      <c r="T24" s="66">
        <f>IF(AND(C17&gt;0,C25&gt;0,C26&gt;0),0.49*C17 + 0.227*C25 + 1.102*C26 - 62.821,"")</f>
        <v>7.5960000000000036</v>
      </c>
      <c r="U24" s="12">
        <f t="shared" si="4"/>
        <v>0.99949779508836856</v>
      </c>
      <c r="V24" s="13" t="str" cm="1">
        <f t="array" ref="V24">_xlfn.IFS(T24="","",T24&lt;-2.94,"F",AND(T24&gt;=-2.94,T24&lt;-1.73),"pF",AND(T24&gt;=-1.73,T24&lt;1.73),"ND",AND(T24&gt;=1.73,T24&lt;2.94),"pM",T24&gt;2.94,"M")</f>
        <v>M</v>
      </c>
      <c r="W24" s="14" t="str" cm="1">
        <f t="array" ref="W24">_xlfn.IFS(T24="","",T24&lt;0,"F",T24=0,"ND",T24&gt;0,"M")</f>
        <v>M</v>
      </c>
      <c r="X24" s="31" t="s">
        <v>74</v>
      </c>
      <c r="Y24" s="39"/>
    </row>
    <row r="25" spans="1:25" x14ac:dyDescent="0.25">
      <c r="A25" s="39"/>
      <c r="B25" s="5" t="s">
        <v>19</v>
      </c>
      <c r="C25" s="10">
        <v>27</v>
      </c>
      <c r="D25" s="58"/>
      <c r="E25" s="27" t="s">
        <v>19</v>
      </c>
      <c r="F25" s="28">
        <f>IF(C25&gt;0,0.766*C25-20.538,"")</f>
        <v>0.1440000000000019</v>
      </c>
      <c r="G25" s="12">
        <f t="shared" si="0"/>
        <v>0.53593792072440938</v>
      </c>
      <c r="H25" s="13" t="str" cm="1">
        <f t="array" ref="H25">_xlfn.IFS(F25="","",F25&lt;-2.94,"F",AND(F25&gt;=-2.94,F25&lt;-1.73),"pF",AND(F25&gt;=-1.73,F25&lt;1.73),"ND",AND(F25&gt;=1.73,F25&lt;2.94),"pM",F25&gt;2.94,"M")</f>
        <v>ND</v>
      </c>
      <c r="I25" s="14" t="str" cm="1">
        <f t="array" ref="I25">_xlfn.IFS(F25="","",F25&lt;0,"F",F25=0,"ND",F25&gt;0,"M")</f>
        <v>M</v>
      </c>
      <c r="J25" s="29" t="s">
        <v>117</v>
      </c>
      <c r="K25" s="45"/>
      <c r="L25" s="30" t="s">
        <v>45</v>
      </c>
      <c r="M25" s="66">
        <f>IF(AND(C25&gt;0,C31&gt;0),1.084*C25+1.211*C31-88.404,"")</f>
        <v>9.2855000000000132</v>
      </c>
      <c r="N25" s="12">
        <f t="shared" si="3"/>
        <v>0.99990724906310557</v>
      </c>
      <c r="O25" s="13" t="str" cm="1">
        <f t="array" ref="O25">_xlfn.IFS(M25="","",M25&lt;-2.94,"F",AND(M25&gt;=-2.94,M25&lt;-1.73),"pF",AND(M25&gt;=-1.73,M25&lt;1.73),"ND",AND(M25&gt;=1.73,M25&lt;2.94),"pM",M25&gt;2.94,"M")</f>
        <v>M</v>
      </c>
      <c r="P25" s="14" t="str" cm="1">
        <f t="array" ref="P25">_xlfn.IFS(M25="","",M25&lt;0,"F",M25=0,"ND",M25&gt;0,"M")</f>
        <v>M</v>
      </c>
      <c r="Q25" s="31" t="s">
        <v>96</v>
      </c>
      <c r="R25" s="45"/>
      <c r="S25" s="30" t="s">
        <v>63</v>
      </c>
      <c r="T25" s="66">
        <f>IF(AND(C6&gt;0,C8&gt;0,C19&gt;0),0.372*C6 + 0.254*C8 + 1.934*C19 - 173.383,"")</f>
        <v>10.679000000000002</v>
      </c>
      <c r="U25" s="12">
        <f t="shared" si="4"/>
        <v>0.99997697714231437</v>
      </c>
      <c r="V25" s="13" t="str" cm="1">
        <f t="array" ref="V25">_xlfn.IFS(T25="","",T25&lt;-2.94,"F",AND(T25&gt;=-2.94,T25&lt;-1.73),"pF",AND(T25&gt;=-1.73,T25&lt;1.73),"ND",AND(T25&gt;=1.73,T25&lt;2.94),"pM",T25&gt;2.94,"M")</f>
        <v>M</v>
      </c>
      <c r="W25" s="14" t="str" cm="1">
        <f t="array" ref="W25">_xlfn.IFS(T25="","",T25&lt;0,"F",T25=0,"ND",T25&gt;0,"M")</f>
        <v>M</v>
      </c>
      <c r="X25" s="31" t="s">
        <v>75</v>
      </c>
      <c r="Y25" s="39"/>
    </row>
    <row r="26" spans="1:25" ht="14.25" thickBot="1" x14ac:dyDescent="0.3">
      <c r="A26" s="39"/>
      <c r="B26" s="5" t="s">
        <v>20</v>
      </c>
      <c r="C26" s="10">
        <v>49</v>
      </c>
      <c r="D26" s="58"/>
      <c r="E26" s="27" t="s">
        <v>20</v>
      </c>
      <c r="F26" s="28">
        <f>IF(C26&gt;0,1.277*C26-54.07,"")</f>
        <v>8.502999999999993</v>
      </c>
      <c r="G26" s="12">
        <f t="shared" si="0"/>
        <v>0.99979718226478209</v>
      </c>
      <c r="H26" s="13" t="str" cm="1">
        <f t="array" ref="H26">_xlfn.IFS(F26="","",F26&lt;-2.94,"F",AND(F26&gt;=-2.94,F26&lt;-1.73),"pF",AND(F26&gt;=-1.73,F26&lt;1.73),"ND",AND(F26&gt;=1.73,F26&lt;2.94),"pM",F26&gt;2.94,"M")</f>
        <v>M</v>
      </c>
      <c r="I26" s="14" t="str" cm="1">
        <f t="array" ref="I26">_xlfn.IFS(F26="","",F26&lt;0,"F",F26=0,"ND",F26&gt;0,"M")</f>
        <v>M</v>
      </c>
      <c r="J26" s="29" t="s">
        <v>118</v>
      </c>
      <c r="K26" s="45"/>
      <c r="L26" s="32" t="s">
        <v>46</v>
      </c>
      <c r="M26" s="33">
        <f>IF(AND(C29&gt;0,C31&gt;0),0.859*C29+0.787*C31-65.271,"")</f>
        <v>8.4004999999999939</v>
      </c>
      <c r="N26" s="15">
        <f t="shared" si="3"/>
        <v>0.99977529558480205</v>
      </c>
      <c r="O26" s="16" t="str" cm="1">
        <f t="array" ref="O26">_xlfn.IFS(M26="","",M26&lt;-2.94,"F",AND(M26&gt;=-2.94,M26&lt;-1.73),"pF",AND(M26&gt;=-1.73,M26&lt;1.73),"ND",AND(M26&gt;=1.73,M26&lt;2.94),"pM",M26&gt;2.94,"M")</f>
        <v>M</v>
      </c>
      <c r="P26" s="17" t="str" cm="1">
        <f t="array" ref="P26">_xlfn.IFS(M26="","",M26&lt;0,"F",M26=0,"ND",M26&gt;0,"M")</f>
        <v>M</v>
      </c>
      <c r="Q26" s="34" t="s">
        <v>97</v>
      </c>
      <c r="R26" s="45"/>
      <c r="S26" s="30" t="s">
        <v>64</v>
      </c>
      <c r="T26" s="66">
        <f>IF(AND(C6&gt;0,C23&gt;0,C20&gt;0),0.401*C6 - 0.771*C23 +1.902*C20 - 129.371,"")</f>
        <v>13.078000000000003</v>
      </c>
      <c r="U26" s="12">
        <f t="shared" si="4"/>
        <v>0.99999790928007748</v>
      </c>
      <c r="V26" s="13" t="str" cm="1">
        <f t="array" ref="V26">_xlfn.IFS(T26="","",T26&lt;-2.94,"F",AND(T26&gt;=-2.94,T26&lt;-1.73),"pF",AND(T26&gt;=-1.73,T26&lt;1.73),"ND",AND(T26&gt;=1.73,T26&lt;2.94),"pM",T26&gt;2.94,"M")</f>
        <v>M</v>
      </c>
      <c r="W26" s="14" t="str" cm="1">
        <f t="array" ref="W26">_xlfn.IFS(T26="","",T26&lt;0,"F",T26=0,"ND",T26&gt;0,"M")</f>
        <v>M</v>
      </c>
      <c r="X26" s="31" t="s">
        <v>76</v>
      </c>
      <c r="Y26" s="39"/>
    </row>
    <row r="27" spans="1:25" ht="14.25" thickTop="1" x14ac:dyDescent="0.25">
      <c r="A27" s="39"/>
      <c r="B27" s="5" t="s">
        <v>21</v>
      </c>
      <c r="C27" s="10">
        <v>49</v>
      </c>
      <c r="D27" s="58"/>
      <c r="E27" s="27" t="s">
        <v>21</v>
      </c>
      <c r="F27" s="28">
        <f>IF(C27&gt;0,1.178*C27-49.568,"")</f>
        <v>8.1539999999999964</v>
      </c>
      <c r="G27" s="12">
        <f t="shared" si="0"/>
        <v>0.99971249995505063</v>
      </c>
      <c r="H27" s="13" t="str" cm="1">
        <f t="array" ref="H27">_xlfn.IFS(F27="","",F27&lt;-2.94,"F",AND(F27&gt;=-2.94,F27&lt;-1.73),"pF",AND(F27&gt;=-1.73,F27&lt;1.73),"ND",AND(F27&gt;=1.73,F27&lt;2.94),"pM",F27&gt;2.94,"M")</f>
        <v>M</v>
      </c>
      <c r="I27" s="14" t="str" cm="1">
        <f t="array" ref="I27">_xlfn.IFS(F27="","",F27&lt;0,"F",F27=0,"ND",F27&gt;0,"M")</f>
        <v>M</v>
      </c>
      <c r="J27" s="29" t="s">
        <v>119</v>
      </c>
      <c r="K27" s="45"/>
      <c r="L27" s="45"/>
      <c r="M27" s="45"/>
      <c r="N27" s="45"/>
      <c r="O27" s="45"/>
      <c r="P27" s="45"/>
      <c r="Q27" s="55"/>
      <c r="R27" s="45"/>
      <c r="S27" s="30" t="s">
        <v>65</v>
      </c>
      <c r="T27" s="66">
        <f>IF(AND(C8&gt;0,C18&gt;0,C28&gt;0),0.323*C8 + 0.989*C18 + 0.147*C28 - 105.691,"")</f>
        <v>5.4609999999999985</v>
      </c>
      <c r="U27" s="12">
        <f t="shared" si="4"/>
        <v>0.99576867586875017</v>
      </c>
      <c r="V27" s="13" t="str" cm="1">
        <f t="array" ref="V27">_xlfn.IFS(T27="","",T27&lt;-2.94,"F",AND(T27&gt;=-2.94,T27&lt;-1.73),"pF",AND(T27&gt;=-1.73,T27&lt;1.73),"ND",AND(T27&gt;=1.73,T27&lt;2.94),"pM",T27&gt;2.94,"M")</f>
        <v>M</v>
      </c>
      <c r="W27" s="14" t="str" cm="1">
        <f t="array" ref="W27">_xlfn.IFS(T27="","",T27&lt;0,"F",T27=0,"ND",T27&gt;0,"M")</f>
        <v>M</v>
      </c>
      <c r="X27" s="31" t="s">
        <v>77</v>
      </c>
      <c r="Y27" s="39"/>
    </row>
    <row r="28" spans="1:25" x14ac:dyDescent="0.25">
      <c r="A28" s="39"/>
      <c r="B28" s="5" t="s">
        <v>22</v>
      </c>
      <c r="C28" s="10">
        <v>398</v>
      </c>
      <c r="D28" s="58"/>
      <c r="E28" s="27" t="s">
        <v>22</v>
      </c>
      <c r="F28" s="28">
        <f>IF(C28&gt;0,0.116*C28-41.733,"")</f>
        <v>4.4350000000000023</v>
      </c>
      <c r="G28" s="12">
        <f t="shared" si="0"/>
        <v>0.9882838300591954</v>
      </c>
      <c r="H28" s="13" t="str" cm="1">
        <f t="array" ref="H28">_xlfn.IFS(F28="","",F28&lt;-2.94,"F",AND(F28&gt;=-2.94,F28&lt;-1.73),"pF",AND(F28&gt;=-1.73,F28&lt;1.73),"ND",AND(F28&gt;=1.73,F28&lt;2.94),"pM",F28&gt;2.94,"M")</f>
        <v>M</v>
      </c>
      <c r="I28" s="14" t="str" cm="1">
        <f t="array" ref="I28">_xlfn.IFS(F28="","",F28&lt;0,"F",F28=0,"ND",F28&gt;0,"M")</f>
        <v>M</v>
      </c>
      <c r="J28" s="29" t="s">
        <v>120</v>
      </c>
      <c r="K28" s="45"/>
      <c r="L28" s="45"/>
      <c r="M28" s="45"/>
      <c r="N28" s="45"/>
      <c r="O28" s="45"/>
      <c r="P28" s="45"/>
      <c r="Q28" s="55"/>
      <c r="R28" s="45"/>
      <c r="S28" s="30" t="s">
        <v>66</v>
      </c>
      <c r="T28" s="66">
        <f>IF(AND(C8&gt;0,C25&gt;0,C26&gt;0),0.275*C8 + 0.735*C25 + 1.285*C26 - 106.902,"")</f>
        <v>7.2579999999999956</v>
      </c>
      <c r="U28" s="12">
        <f t="shared" si="4"/>
        <v>0.9992959803340471</v>
      </c>
      <c r="V28" s="13" t="str" cm="1">
        <f t="array" ref="V28">_xlfn.IFS(T28="","",T28&lt;-2.94,"F",AND(T28&gt;=-2.94,T28&lt;-1.73),"pF",AND(T28&gt;=-1.73,T28&lt;1.73),"ND",AND(T28&gt;=1.73,T28&lt;2.94),"pM",T28&gt;2.94,"M")</f>
        <v>M</v>
      </c>
      <c r="W28" s="14" t="str" cm="1">
        <f t="array" ref="W28">_xlfn.IFS(T28="","",T28&lt;0,"F",T28=0,"ND",T28&gt;0,"M")</f>
        <v>M</v>
      </c>
      <c r="X28" s="31" t="s">
        <v>78</v>
      </c>
      <c r="Y28" s="39"/>
    </row>
    <row r="29" spans="1:25" ht="14.25" thickBot="1" x14ac:dyDescent="0.3">
      <c r="A29" s="39"/>
      <c r="B29" s="5" t="s">
        <v>23</v>
      </c>
      <c r="C29" s="10">
        <v>34</v>
      </c>
      <c r="D29" s="58"/>
      <c r="E29" s="27" t="s">
        <v>23</v>
      </c>
      <c r="F29" s="28">
        <f>IF(C29&gt;0,0.867*C29-27.357,"")</f>
        <v>2.1210000000000022</v>
      </c>
      <c r="G29" s="12">
        <f t="shared" si="0"/>
        <v>0.89292757500805209</v>
      </c>
      <c r="H29" s="13" t="str" cm="1">
        <f t="array" ref="H29">_xlfn.IFS(F29="","",F29&lt;-2.94,"F",AND(F29&gt;=-2.94,F29&lt;-1.73),"pF",AND(F29&gt;=-1.73,F29&lt;1.73),"ND",AND(F29&gt;=1.73,F29&lt;2.94),"pM",F29&gt;2.94,"M")</f>
        <v>pM</v>
      </c>
      <c r="I29" s="14" t="str" cm="1">
        <f t="array" ref="I29">_xlfn.IFS(F29="","",F29&lt;0,"F",F29=0,"ND",F29&gt;0,"M")</f>
        <v>M</v>
      </c>
      <c r="J29" s="29" t="s">
        <v>121</v>
      </c>
      <c r="K29" s="45"/>
      <c r="L29" s="45"/>
      <c r="M29" s="45"/>
      <c r="N29" s="45"/>
      <c r="O29" s="45"/>
      <c r="P29" s="45"/>
      <c r="Q29" s="55"/>
      <c r="R29" s="45"/>
      <c r="S29" s="32" t="s">
        <v>67</v>
      </c>
      <c r="T29" s="33">
        <f>IF(AND(C22&gt;0,C27&gt;0,C30&gt;0),7.941*C22 + 2.796*C27 - 1.932*C30 - 160.648,"")</f>
        <v>22.275499999999994</v>
      </c>
      <c r="U29" s="15">
        <f t="shared" si="4"/>
        <v>0.99999999978822562</v>
      </c>
      <c r="V29" s="16" t="str" cm="1">
        <f t="array" ref="V29">_xlfn.IFS(T29="","",T29&lt;-2.94,"F",AND(T29&gt;=-2.94,T29&lt;-1.73),"pF",AND(T29&gt;=-1.73,T29&lt;1.73),"ND",AND(T29&gt;=1.73,T29&lt;2.94),"pM",T29&gt;2.94,"M")</f>
        <v>M</v>
      </c>
      <c r="W29" s="17" t="str" cm="1">
        <f t="array" ref="W29">_xlfn.IFS(T29="","",T29&lt;0,"F",T29=0,"ND",T29&gt;0,"M")</f>
        <v>M</v>
      </c>
      <c r="X29" s="34" t="s">
        <v>79</v>
      </c>
      <c r="Y29" s="39"/>
    </row>
    <row r="30" spans="1:25" ht="14.25" thickTop="1" x14ac:dyDescent="0.25">
      <c r="A30" s="39"/>
      <c r="B30" s="5" t="s">
        <v>24</v>
      </c>
      <c r="C30" s="10">
        <v>23.5</v>
      </c>
      <c r="D30" s="58"/>
      <c r="E30" s="27" t="s">
        <v>24</v>
      </c>
      <c r="F30" s="28">
        <f>IF(C30&gt;0,0.751*C30-15.744,"")</f>
        <v>1.9044999999999987</v>
      </c>
      <c r="G30" s="12">
        <f t="shared" si="0"/>
        <v>0.87039998960134635</v>
      </c>
      <c r="H30" s="13" t="str" cm="1">
        <f t="array" ref="H30">_xlfn.IFS(F30="","",F30&lt;-2.94,"F",AND(F30&gt;=-2.94,F30&lt;-1.73),"pF",AND(F30&gt;=-1.73,F30&lt;1.73),"ND",AND(F30&gt;=1.73,F30&lt;2.94),"pM",F30&gt;2.94,"M")</f>
        <v>pM</v>
      </c>
      <c r="I30" s="14" t="str" cm="1">
        <f t="array" ref="I30">_xlfn.IFS(F30="","",F30&lt;0,"F",F30=0,"ND",F30&gt;0,"M")</f>
        <v>M</v>
      </c>
      <c r="J30" s="29" t="s">
        <v>122</v>
      </c>
      <c r="K30" s="45"/>
      <c r="L30" s="45"/>
      <c r="M30" s="45"/>
      <c r="N30" s="45"/>
      <c r="O30" s="45"/>
      <c r="P30" s="45"/>
      <c r="Q30" s="55"/>
      <c r="R30" s="45"/>
      <c r="S30" s="45"/>
      <c r="T30" s="45"/>
      <c r="U30" s="45"/>
      <c r="V30" s="45"/>
      <c r="W30" s="45"/>
      <c r="X30" s="45"/>
      <c r="Y30" s="39"/>
    </row>
    <row r="31" spans="1:25" ht="14.25" thickBot="1" x14ac:dyDescent="0.3">
      <c r="A31" s="39"/>
      <c r="B31" s="6" t="s">
        <v>25</v>
      </c>
      <c r="C31" s="11">
        <v>56.5</v>
      </c>
      <c r="D31" s="58"/>
      <c r="E31" s="35" t="s">
        <v>25</v>
      </c>
      <c r="F31" s="36">
        <f>IF(C31&gt;0,1.193*C31-57.831,"")</f>
        <v>9.5734999999999957</v>
      </c>
      <c r="G31" s="15">
        <f t="shared" si="0"/>
        <v>0.99993045729579677</v>
      </c>
      <c r="H31" s="16" t="str" cm="1">
        <f t="array" ref="H31">_xlfn.IFS(F31="","",F31&lt;-2.94,"F",AND(F31&gt;=-2.94,F31&lt;-1.73),"pF",AND(F31&gt;=-1.73,F31&lt;1.73),"ND",AND(F31&gt;=1.73,F31&lt;2.94),"pM",F31&gt;2.94,"M")</f>
        <v>M</v>
      </c>
      <c r="I31" s="17" t="str" cm="1">
        <f t="array" ref="I31">_xlfn.IFS(F31="","",F31&lt;0,"F",F31=0,"ND",F31&gt;0,"M")</f>
        <v>M</v>
      </c>
      <c r="J31" s="37" t="s">
        <v>123</v>
      </c>
      <c r="K31" s="45"/>
      <c r="L31" s="45"/>
      <c r="M31" s="45"/>
      <c r="N31" s="45"/>
      <c r="O31" s="45"/>
      <c r="P31" s="45"/>
      <c r="Q31" s="55"/>
      <c r="R31" s="45"/>
      <c r="S31" s="45"/>
      <c r="T31" s="45"/>
      <c r="U31" s="45"/>
      <c r="V31" s="45"/>
      <c r="W31" s="45"/>
      <c r="X31" s="45"/>
      <c r="Y31" s="39"/>
    </row>
    <row r="32" spans="1:25" ht="14.25" thickTop="1" x14ac:dyDescent="0.25">
      <c r="A32" s="39"/>
      <c r="B32" s="39"/>
      <c r="C32" s="40"/>
      <c r="D32" s="40"/>
      <c r="E32" s="53"/>
      <c r="F32" s="54"/>
      <c r="G32" s="53"/>
      <c r="H32" s="53"/>
      <c r="I32" s="53"/>
      <c r="J32" s="45"/>
      <c r="K32" s="45"/>
      <c r="L32" s="45"/>
      <c r="M32" s="45"/>
      <c r="N32" s="45"/>
      <c r="O32" s="45"/>
      <c r="P32" s="45"/>
      <c r="Q32" s="55"/>
      <c r="R32" s="45"/>
      <c r="S32" s="45"/>
      <c r="T32" s="45"/>
      <c r="U32" s="45"/>
      <c r="V32" s="45"/>
      <c r="W32" s="45"/>
      <c r="X32" s="45"/>
      <c r="Y32" s="39"/>
    </row>
    <row r="33" spans="1:25" x14ac:dyDescent="0.25">
      <c r="A33" s="39"/>
      <c r="B33" s="56" t="s">
        <v>230</v>
      </c>
      <c r="C33" s="40"/>
      <c r="D33" s="40"/>
      <c r="E33" s="40"/>
      <c r="F33" s="41"/>
      <c r="G33" s="40"/>
      <c r="H33" s="40"/>
      <c r="I33" s="40"/>
      <c r="J33" s="39"/>
      <c r="K33" s="39"/>
      <c r="L33" s="39"/>
      <c r="M33" s="39"/>
      <c r="N33" s="39"/>
      <c r="O33" s="39"/>
      <c r="P33" s="39"/>
      <c r="Q33" s="42"/>
      <c r="R33" s="39"/>
      <c r="S33" s="39"/>
      <c r="T33" s="39"/>
      <c r="U33" s="39"/>
      <c r="V33" s="39"/>
      <c r="W33" s="39"/>
      <c r="X33" s="39"/>
      <c r="Y33" s="39"/>
    </row>
    <row r="34" spans="1:25" x14ac:dyDescent="0.25">
      <c r="A34" s="39"/>
      <c r="B34" s="39"/>
      <c r="C34" s="40"/>
      <c r="D34" s="40"/>
      <c r="E34" s="40"/>
      <c r="F34" s="41"/>
      <c r="G34" s="40"/>
      <c r="H34" s="40"/>
      <c r="I34" s="40"/>
      <c r="J34" s="39"/>
      <c r="K34" s="39"/>
      <c r="L34" s="39"/>
      <c r="M34" s="39"/>
      <c r="N34" s="39"/>
      <c r="O34" s="39"/>
      <c r="P34" s="39"/>
      <c r="Q34" s="42"/>
      <c r="R34" s="39"/>
      <c r="S34" s="39"/>
      <c r="T34" s="39"/>
      <c r="U34" s="39"/>
      <c r="V34" s="39"/>
      <c r="W34" s="39"/>
      <c r="X34" s="39"/>
      <c r="Y34" s="39"/>
    </row>
    <row r="35" spans="1:25" x14ac:dyDescent="0.25">
      <c r="M35" s="2"/>
      <c r="N35" s="2"/>
      <c r="O35" s="2"/>
      <c r="P35" s="2"/>
    </row>
    <row r="36" spans="1:25" x14ac:dyDescent="0.25">
      <c r="M36" s="2"/>
      <c r="N36" s="2"/>
      <c r="O36" s="2"/>
      <c r="P36" s="2"/>
    </row>
    <row r="37" spans="1:25" x14ac:dyDescent="0.25">
      <c r="M37" s="2"/>
      <c r="N37" s="2"/>
      <c r="O37" s="2"/>
      <c r="P37" s="2"/>
    </row>
  </sheetData>
  <sheetProtection algorithmName="SHA-512" hashValue="Y1wSG3St1eVASBXfoOYsNA9dxN1EzYceY71KP+95uOJkhu68LrgGs+QzOyONhLKj1vEgElM0Ef/Fp6SuioqESw==" saltValue="7LhG91MaE0azzNQu7LXSnw==" spinCount="100000" sheet="1" objects="1" scenarios="1"/>
  <mergeCells count="6">
    <mergeCell ref="B4:C4"/>
    <mergeCell ref="E4:J4"/>
    <mergeCell ref="L4:Q4"/>
    <mergeCell ref="S4:X4"/>
    <mergeCell ref="L16:Q16"/>
    <mergeCell ref="S16:X16"/>
  </mergeCells>
  <conditionalFormatting sqref="G6:G31">
    <cfRule type="colorScale" priority="41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H6:H31">
    <cfRule type="containsText" dxfId="81" priority="31" operator="containsText" text="F">
      <formula>NOT(ISERROR(SEARCH("F",H6)))</formula>
    </cfRule>
    <cfRule type="containsText" dxfId="80" priority="30" operator="containsText" text="pF">
      <formula>NOT(ISERROR(SEARCH("pF",H6)))</formula>
    </cfRule>
    <cfRule type="containsText" dxfId="79" priority="34" operator="containsText" text="M">
      <formula>NOT(ISERROR(SEARCH("M",H6)))</formula>
    </cfRule>
    <cfRule type="containsText" dxfId="78" priority="33" operator="containsText" text="pM">
      <formula>NOT(ISERROR(SEARCH("pM",H6)))</formula>
    </cfRule>
    <cfRule type="containsText" dxfId="77" priority="32" operator="containsText" text="ND">
      <formula>NOT(ISERROR(SEARCH("ND",H6)))</formula>
    </cfRule>
  </conditionalFormatting>
  <conditionalFormatting sqref="I6:I31">
    <cfRule type="containsText" dxfId="76" priority="36" operator="containsText" text="M">
      <formula>NOT(ISERROR(SEARCH("M",I6)))</formula>
    </cfRule>
    <cfRule type="containsText" dxfId="75" priority="35" operator="containsText" text="F">
      <formula>NOT(ISERROR(SEARCH("F",I6)))</formula>
    </cfRule>
    <cfRule type="containsText" dxfId="74" priority="29" operator="containsText" text="ND">
      <formula>NOT(ISERROR(SEARCH("ND",I6)))</formula>
    </cfRule>
  </conditionalFormatting>
  <conditionalFormatting sqref="N6:N14">
    <cfRule type="colorScale" priority="40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N15">
    <cfRule type="colorScale" priority="47">
      <colorScale>
        <cfvo type="percent" val="0"/>
        <cfvo type="percentile" val="50"/>
        <cfvo type="percent" val="100"/>
        <color rgb="FFC00000"/>
        <color rgb="FFFFEB84"/>
        <color theme="9" tint="-0.249977111117893"/>
      </colorScale>
    </cfRule>
  </conditionalFormatting>
  <conditionalFormatting sqref="N18:N26">
    <cfRule type="colorScale" priority="39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O6:O14">
    <cfRule type="containsText" dxfId="73" priority="19" operator="containsText" text="pM">
      <formula>NOT(ISERROR(SEARCH("pM",O6)))</formula>
    </cfRule>
    <cfRule type="containsText" dxfId="72" priority="16" operator="containsText" text="pF">
      <formula>NOT(ISERROR(SEARCH("pF",O6)))</formula>
    </cfRule>
    <cfRule type="containsText" dxfId="71" priority="17" operator="containsText" text="F">
      <formula>NOT(ISERROR(SEARCH("F",O6)))</formula>
    </cfRule>
    <cfRule type="containsText" dxfId="70" priority="20" operator="containsText" text="M">
      <formula>NOT(ISERROR(SEARCH("M",O6)))</formula>
    </cfRule>
  </conditionalFormatting>
  <conditionalFormatting sqref="O18:O26">
    <cfRule type="containsText" dxfId="69" priority="11" operator="containsText" text="pF">
      <formula>NOT(ISERROR(SEARCH("pF",O18)))</formula>
    </cfRule>
    <cfRule type="containsText" dxfId="68" priority="12" operator="containsText" text="F">
      <formula>NOT(ISERROR(SEARCH("F",O18)))</formula>
    </cfRule>
    <cfRule type="containsText" dxfId="67" priority="14" operator="containsText" text="pM">
      <formula>NOT(ISERROR(SEARCH("pM",O18)))</formula>
    </cfRule>
    <cfRule type="containsText" dxfId="66" priority="15" operator="containsText" text="M">
      <formula>NOT(ISERROR(SEARCH("M",O18)))</formula>
    </cfRule>
  </conditionalFormatting>
  <conditionalFormatting sqref="O6:P14">
    <cfRule type="containsText" dxfId="65" priority="18" operator="containsText" text="ND">
      <formula>NOT(ISERROR(SEARCH("ND",O6)))</formula>
    </cfRule>
  </conditionalFormatting>
  <conditionalFormatting sqref="O15:P15">
    <cfRule type="containsText" dxfId="64" priority="45" operator="containsText" text="pM">
      <formula>NOT(ISERROR(SEARCH("pM",O15)))</formula>
    </cfRule>
    <cfRule type="containsText" dxfId="63" priority="46" operator="containsText" text="M">
      <formula>NOT(ISERROR(SEARCH("M",O15)))</formula>
    </cfRule>
    <cfRule type="containsText" dxfId="62" priority="42" operator="containsText" text="pF">
      <formula>NOT(ISERROR(SEARCH("pF",O15)))</formula>
    </cfRule>
    <cfRule type="containsText" dxfId="61" priority="43" operator="containsText" text="F">
      <formula>NOT(ISERROR(SEARCH("F",O15)))</formula>
    </cfRule>
    <cfRule type="containsText" dxfId="60" priority="44" operator="containsText" text="ND">
      <formula>NOT(ISERROR(SEARCH("ND",O15)))</formula>
    </cfRule>
  </conditionalFormatting>
  <conditionalFormatting sqref="O18:P26">
    <cfRule type="containsText" dxfId="59" priority="13" operator="containsText" text="ND">
      <formula>NOT(ISERROR(SEARCH("ND",O18)))</formula>
    </cfRule>
  </conditionalFormatting>
  <conditionalFormatting sqref="P6:P14">
    <cfRule type="containsText" dxfId="58" priority="27" operator="containsText" text="F">
      <formula>NOT(ISERROR(SEARCH("F",P6)))</formula>
    </cfRule>
    <cfRule type="containsText" dxfId="57" priority="28" operator="containsText" text="M">
      <formula>NOT(ISERROR(SEARCH("M",P6)))</formula>
    </cfRule>
  </conditionalFormatting>
  <conditionalFormatting sqref="P18:P26">
    <cfRule type="containsText" dxfId="56" priority="25" operator="containsText" text="F">
      <formula>NOT(ISERROR(SEARCH("F",P18)))</formula>
    </cfRule>
    <cfRule type="containsText" dxfId="55" priority="26" operator="containsText" text="M">
      <formula>NOT(ISERROR(SEARCH("M",P18)))</formula>
    </cfRule>
  </conditionalFormatting>
  <conditionalFormatting sqref="U6:U14">
    <cfRule type="colorScale" priority="38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U18:U29">
    <cfRule type="colorScale" priority="37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V6:V14">
    <cfRule type="containsText" dxfId="54" priority="10" operator="containsText" text="M">
      <formula>NOT(ISERROR(SEARCH("M",V6)))</formula>
    </cfRule>
    <cfRule type="containsText" dxfId="53" priority="9" operator="containsText" text="pM">
      <formula>NOT(ISERROR(SEARCH("pM",V6)))</formula>
    </cfRule>
    <cfRule type="containsText" dxfId="52" priority="7" operator="containsText" text="F">
      <formula>NOT(ISERROR(SEARCH("F",V6)))</formula>
    </cfRule>
    <cfRule type="containsText" dxfId="51" priority="6" operator="containsText" text="pF">
      <formula>NOT(ISERROR(SEARCH("pF",V6)))</formula>
    </cfRule>
  </conditionalFormatting>
  <conditionalFormatting sqref="V18:V29">
    <cfRule type="containsText" dxfId="50" priority="2" operator="containsText" text="F">
      <formula>NOT(ISERROR(SEARCH("F",V18)))</formula>
    </cfRule>
    <cfRule type="containsText" dxfId="49" priority="1" operator="containsText" text="pF">
      <formula>NOT(ISERROR(SEARCH("pF",V18)))</formula>
    </cfRule>
    <cfRule type="containsText" dxfId="48" priority="5" operator="containsText" text="M">
      <formula>NOT(ISERROR(SEARCH("M",V18)))</formula>
    </cfRule>
    <cfRule type="containsText" dxfId="47" priority="4" operator="containsText" text="pM">
      <formula>NOT(ISERROR(SEARCH("pM",V18)))</formula>
    </cfRule>
  </conditionalFormatting>
  <conditionalFormatting sqref="V6:W14">
    <cfRule type="containsText" dxfId="46" priority="8" operator="containsText" text="ND">
      <formula>NOT(ISERROR(SEARCH("ND",V6)))</formula>
    </cfRule>
  </conditionalFormatting>
  <conditionalFormatting sqref="V18:W29">
    <cfRule type="containsText" dxfId="45" priority="3" operator="containsText" text="ND">
      <formula>NOT(ISERROR(SEARCH("ND",V18)))</formula>
    </cfRule>
  </conditionalFormatting>
  <conditionalFormatting sqref="W6:W14">
    <cfRule type="containsText" dxfId="44" priority="24" operator="containsText" text="M">
      <formula>NOT(ISERROR(SEARCH("M",W6)))</formula>
    </cfRule>
    <cfRule type="containsText" dxfId="43" priority="23" operator="containsText" text="F">
      <formula>NOT(ISERROR(SEARCH("F",W6)))</formula>
    </cfRule>
  </conditionalFormatting>
  <conditionalFormatting sqref="W18:W29">
    <cfRule type="containsText" dxfId="42" priority="22" operator="containsText" text="M">
      <formula>NOT(ISERROR(SEARCH("M",W18)))</formula>
    </cfRule>
    <cfRule type="containsText" dxfId="41" priority="21" operator="containsText" text="F">
      <formula>NOT(ISERROR(SEARCH("F",W18)))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3C90-E0FD-4CC6-83BF-BD404521345E}">
  <dimension ref="A1:Y37"/>
  <sheetViews>
    <sheetView workbookViewId="0">
      <selection activeCell="C6" sqref="C6"/>
    </sheetView>
  </sheetViews>
  <sheetFormatPr defaultColWidth="9.140625" defaultRowHeight="13.5" x14ac:dyDescent="0.25"/>
  <cols>
    <col min="1" max="1" width="6.28515625" style="2" customWidth="1"/>
    <col min="2" max="2" width="6.42578125" style="2" customWidth="1"/>
    <col min="3" max="3" width="12.85546875" style="3" bestFit="1" customWidth="1"/>
    <col min="4" max="4" width="3" style="3" customWidth="1"/>
    <col min="5" max="5" width="7.28515625" style="3" customWidth="1"/>
    <col min="6" max="6" width="7" style="4" bestFit="1" customWidth="1"/>
    <col min="7" max="7" width="9.85546875" style="3" customWidth="1"/>
    <col min="8" max="9" width="5.85546875" style="3" bestFit="1" customWidth="1"/>
    <col min="10" max="10" width="16.5703125" style="2" bestFit="1" customWidth="1"/>
    <col min="11" max="11" width="3.140625" style="2" customWidth="1"/>
    <col min="12" max="12" width="6.42578125" style="2" bestFit="1" customWidth="1"/>
    <col min="13" max="13" width="8" style="4" customWidth="1"/>
    <col min="14" max="14" width="10.85546875" style="3" bestFit="1" customWidth="1"/>
    <col min="15" max="15" width="6.7109375" style="3" customWidth="1"/>
    <col min="16" max="16" width="5.85546875" style="3" bestFit="1" customWidth="1"/>
    <col min="17" max="17" width="35.42578125" style="1" bestFit="1" customWidth="1"/>
    <col min="18" max="18" width="2.5703125" style="2" customWidth="1"/>
    <col min="19" max="19" width="5.28515625" style="2" bestFit="1" customWidth="1"/>
    <col min="20" max="20" width="8.7109375" style="2" bestFit="1" customWidth="1"/>
    <col min="21" max="21" width="9.42578125" style="2" bestFit="1" customWidth="1"/>
    <col min="22" max="23" width="5.85546875" style="2" bestFit="1" customWidth="1"/>
    <col min="24" max="24" width="41.28515625" style="2" bestFit="1" customWidth="1"/>
    <col min="25" max="16384" width="9.140625" style="2"/>
  </cols>
  <sheetData>
    <row r="1" spans="1:25" x14ac:dyDescent="0.25">
      <c r="A1" s="39"/>
      <c r="B1" s="39"/>
      <c r="C1" s="40"/>
      <c r="D1" s="40"/>
      <c r="E1" s="40"/>
      <c r="F1" s="41"/>
      <c r="G1" s="40"/>
      <c r="H1" s="40"/>
      <c r="I1" s="40"/>
      <c r="J1" s="39"/>
      <c r="K1" s="39"/>
      <c r="L1" s="39"/>
      <c r="M1" s="41"/>
      <c r="N1" s="40"/>
      <c r="O1" s="40"/>
      <c r="P1" s="40"/>
      <c r="Q1" s="42"/>
      <c r="R1" s="39"/>
      <c r="S1" s="39"/>
      <c r="T1" s="39"/>
      <c r="U1" s="39"/>
      <c r="V1" s="39"/>
      <c r="W1" s="39"/>
      <c r="X1" s="39"/>
      <c r="Y1" s="39"/>
    </row>
    <row r="2" spans="1:25" ht="15.75" x14ac:dyDescent="0.25">
      <c r="A2" s="39"/>
      <c r="B2" s="43"/>
      <c r="C2" s="40"/>
      <c r="D2" s="40"/>
      <c r="E2" s="40"/>
      <c r="F2" s="41"/>
      <c r="G2" s="40"/>
      <c r="H2" s="40"/>
      <c r="I2" s="40"/>
      <c r="J2" s="39"/>
      <c r="K2" s="39"/>
      <c r="L2" s="39" t="s">
        <v>233</v>
      </c>
      <c r="M2" s="41"/>
      <c r="N2" s="40"/>
      <c r="O2" s="40"/>
      <c r="P2" s="40"/>
      <c r="Q2" s="42"/>
      <c r="R2" s="39"/>
      <c r="S2" s="39"/>
      <c r="T2" s="39"/>
      <c r="U2" s="39"/>
      <c r="V2" s="39"/>
      <c r="W2" s="39"/>
      <c r="X2" s="39"/>
      <c r="Y2" s="39"/>
    </row>
    <row r="3" spans="1:25" ht="14.25" thickBot="1" x14ac:dyDescent="0.3">
      <c r="A3" s="39"/>
      <c r="B3" s="39"/>
      <c r="C3" s="40"/>
      <c r="D3" s="40"/>
      <c r="E3" s="40"/>
      <c r="F3" s="41"/>
      <c r="G3" s="40"/>
      <c r="H3" s="40"/>
      <c r="I3" s="40"/>
      <c r="J3" s="39"/>
      <c r="K3" s="39"/>
      <c r="L3" s="39"/>
      <c r="M3" s="41"/>
      <c r="N3" s="40"/>
      <c r="O3" s="40"/>
      <c r="P3" s="40"/>
      <c r="Q3" s="42"/>
      <c r="R3" s="39"/>
      <c r="S3" s="39"/>
      <c r="T3" s="39"/>
      <c r="U3" s="39"/>
      <c r="V3" s="39"/>
      <c r="W3" s="39"/>
      <c r="X3" s="39"/>
      <c r="Y3" s="39"/>
    </row>
    <row r="4" spans="1:25" ht="15" thickTop="1" thickBot="1" x14ac:dyDescent="0.3">
      <c r="A4" s="39"/>
      <c r="B4" s="68" t="s">
        <v>141</v>
      </c>
      <c r="C4" s="69"/>
      <c r="D4" s="40"/>
      <c r="E4" s="70" t="s">
        <v>142</v>
      </c>
      <c r="F4" s="71"/>
      <c r="G4" s="71"/>
      <c r="H4" s="71"/>
      <c r="I4" s="71"/>
      <c r="J4" s="72"/>
      <c r="K4" s="45"/>
      <c r="L4" s="73" t="s">
        <v>143</v>
      </c>
      <c r="M4" s="74"/>
      <c r="N4" s="74"/>
      <c r="O4" s="74"/>
      <c r="P4" s="74"/>
      <c r="Q4" s="75"/>
      <c r="R4" s="45"/>
      <c r="S4" s="73" t="s">
        <v>145</v>
      </c>
      <c r="T4" s="74"/>
      <c r="U4" s="74"/>
      <c r="V4" s="74"/>
      <c r="W4" s="74"/>
      <c r="X4" s="75"/>
      <c r="Y4" s="39"/>
    </row>
    <row r="5" spans="1:25" s="7" customFormat="1" ht="15.75" customHeight="1" thickTop="1" x14ac:dyDescent="0.25">
      <c r="A5" s="44"/>
      <c r="B5" s="8" t="s">
        <v>149</v>
      </c>
      <c r="C5" s="9" t="s">
        <v>140</v>
      </c>
      <c r="D5" s="57"/>
      <c r="E5" s="18" t="s">
        <v>28</v>
      </c>
      <c r="F5" s="19" t="s">
        <v>136</v>
      </c>
      <c r="G5" s="20" t="s">
        <v>138</v>
      </c>
      <c r="H5" s="20" t="s">
        <v>26</v>
      </c>
      <c r="I5" s="20" t="s">
        <v>27</v>
      </c>
      <c r="J5" s="21" t="s">
        <v>139</v>
      </c>
      <c r="K5" s="46"/>
      <c r="L5" s="22" t="s">
        <v>28</v>
      </c>
      <c r="M5" s="23" t="s">
        <v>136</v>
      </c>
      <c r="N5" s="24" t="s">
        <v>138</v>
      </c>
      <c r="O5" s="24" t="s">
        <v>26</v>
      </c>
      <c r="P5" s="24" t="s">
        <v>27</v>
      </c>
      <c r="Q5" s="25" t="s">
        <v>139</v>
      </c>
      <c r="R5" s="46"/>
      <c r="S5" s="26" t="s">
        <v>28</v>
      </c>
      <c r="T5" s="23" t="s">
        <v>136</v>
      </c>
      <c r="U5" s="24" t="s">
        <v>138</v>
      </c>
      <c r="V5" s="24" t="s">
        <v>26</v>
      </c>
      <c r="W5" s="24" t="s">
        <v>27</v>
      </c>
      <c r="X5" s="25" t="s">
        <v>139</v>
      </c>
      <c r="Y5" s="44"/>
    </row>
    <row r="6" spans="1:25" x14ac:dyDescent="0.25">
      <c r="A6" s="39"/>
      <c r="B6" s="5" t="s">
        <v>0</v>
      </c>
      <c r="C6" s="10">
        <v>173</v>
      </c>
      <c r="D6" s="58"/>
      <c r="E6" s="27" t="s">
        <v>0</v>
      </c>
      <c r="F6" s="28">
        <f>IF(C6&gt;0,0.24*C6-43.191,"")</f>
        <v>-1.6710000000000065</v>
      </c>
      <c r="G6" s="12">
        <f t="shared" ref="G6:G31" si="0">IF(ISNUMBER(F6),1/(1+EXP(-F6)),"")</f>
        <v>0.15829089842302896</v>
      </c>
      <c r="H6" s="13" t="str" cm="1">
        <f t="array" ref="H6">_xlfn.IFS(F6="","",F6&lt;-2.94,"F",AND(F6&gt;=-2.94,F6&lt;-1.73),"pF",AND(F6&gt;=-1.73,F6&lt;1.73),"ND",AND(F6&gt;=1.73,F6&lt;2.94),"pM",F6&gt;2.94,"M")</f>
        <v>ND</v>
      </c>
      <c r="I6" s="14" t="str" cm="1">
        <f t="array" ref="I6">_xlfn.IFS(F6="","",F6&lt;0,"F",F6=0,"ND",F6&gt;0,"M")</f>
        <v>F</v>
      </c>
      <c r="J6" s="29" t="s">
        <v>98</v>
      </c>
      <c r="K6" s="45"/>
      <c r="L6" s="30" t="s">
        <v>29</v>
      </c>
      <c r="M6" s="66">
        <f>IF(AND(C16&gt;0,C19&gt;0,C22&gt;0),-0.897*C16+2.239*C19+4.549*C22-102.273,"")</f>
        <v>-19.195300000000003</v>
      </c>
      <c r="N6" s="12">
        <f t="shared" ref="N6:N14" si="1">IF(ISNUMBER(M6),1/(1+EXP(-M6)),"")</f>
        <v>4.6087922245073582E-9</v>
      </c>
      <c r="O6" s="13" t="str" cm="1">
        <f t="array" ref="O6">_xlfn.IFS(M6="","",M6&lt;-2.94,"F",AND(M6&gt;=-2.94,M6&lt;-1.73),"pF",AND(M6&gt;=-1.73,M6&lt;1.73),"ND",AND(M6&gt;=1.73,M6&lt;2.94),"pM",M6&gt;2.94,"M")</f>
        <v>F</v>
      </c>
      <c r="P6" s="14" t="str" cm="1">
        <f t="array" ref="P6">_xlfn.IFS(M6="","",M6&lt;0,"F",M6=0,"ND",M6&gt;0,"M")</f>
        <v>F</v>
      </c>
      <c r="Q6" s="31" t="s">
        <v>80</v>
      </c>
      <c r="R6" s="45"/>
      <c r="S6" s="30" t="s">
        <v>47</v>
      </c>
      <c r="T6" s="66">
        <f>IF(AND(C6&gt;0,C9&gt;0,C15&gt;0),0.431*C6+0.272*C9+0.249*C15-127.238,"")</f>
        <v>-5.2979999999999876</v>
      </c>
      <c r="U6" s="12">
        <f t="shared" ref="U6:U14" si="2">IF(ISNUMBER(T6),1/(1+EXP(-T6)),"")</f>
        <v>4.9766957075957508E-3</v>
      </c>
      <c r="V6" s="13" t="str" cm="1">
        <f t="array" ref="V6">_xlfn.IFS(T6="","",T6&lt;-2.94,"F",AND(T6&gt;=-2.94,T6&lt;-1.73),"pF",AND(T6&gt;=-1.73,T6&lt;1.73),"ND",AND(T6&gt;=1.73,T6&lt;2.94),"pM",T6&gt;2.94,"M")</f>
        <v>F</v>
      </c>
      <c r="W6" s="14" t="str" cm="1">
        <f t="array" ref="W6">_xlfn.IFS(T6="","",T6&lt;0,"F",T6=0,"ND",T6&gt;0,"M")</f>
        <v>F</v>
      </c>
      <c r="X6" s="31" t="s">
        <v>124</v>
      </c>
      <c r="Y6" s="39"/>
    </row>
    <row r="7" spans="1:25" x14ac:dyDescent="0.25">
      <c r="A7" s="39"/>
      <c r="B7" s="5" t="s">
        <v>1</v>
      </c>
      <c r="C7" s="10"/>
      <c r="D7" s="58"/>
      <c r="E7" s="27" t="s">
        <v>1</v>
      </c>
      <c r="F7" s="28" t="str">
        <f>IF(C7&gt;0,0.28*C7-25.577,"")</f>
        <v/>
      </c>
      <c r="G7" s="12" t="str">
        <f t="shared" si="0"/>
        <v/>
      </c>
      <c r="H7" s="13" t="str" cm="1">
        <f t="array" ref="H7">_xlfn.IFS(F7="","",F7&lt;-2.94,"F",AND(F7&gt;=-2.94,F7&lt;-1.73),"pF",AND(F7&gt;=-1.73,F7&lt;1.73),"ND",AND(F7&gt;=1.73,F7&lt;2.94),"pM",F7&gt;2.94,"M")</f>
        <v/>
      </c>
      <c r="I7" s="14" t="str" cm="1">
        <f t="array" ref="I7">_xlfn.IFS(F7="","",F7&lt;0,"F",F7=0,"ND",F7&gt;0,"M")</f>
        <v/>
      </c>
      <c r="J7" s="29" t="s">
        <v>99</v>
      </c>
      <c r="K7" s="45"/>
      <c r="L7" s="30" t="s">
        <v>30</v>
      </c>
      <c r="M7" s="66">
        <f>IF(AND(C19&gt;0,C22&gt;0),0.887*C19+1.579*C22-51.062,"")</f>
        <v>-8.4669999999999987</v>
      </c>
      <c r="N7" s="12">
        <f t="shared" si="1"/>
        <v>2.1025062788682149E-4</v>
      </c>
      <c r="O7" s="13" t="str" cm="1">
        <f t="array" ref="O7">_xlfn.IFS(M7="","",M7&lt;-2.94,"F",AND(M7&gt;=-2.94,M7&lt;-1.73),"pF",AND(M7&gt;=-1.73,M7&lt;1.73),"ND",AND(M7&gt;=1.73,M7&lt;2.94),"pM",M7&gt;2.94,"M")</f>
        <v>F</v>
      </c>
      <c r="P7" s="14" t="str" cm="1">
        <f t="array" ref="P7">_xlfn.IFS(M7="","",M7&lt;0,"F",M7=0,"ND",M7&gt;0,"M")</f>
        <v>F</v>
      </c>
      <c r="Q7" s="31" t="s">
        <v>81</v>
      </c>
      <c r="R7" s="45"/>
      <c r="S7" s="30" t="s">
        <v>48</v>
      </c>
      <c r="T7" s="66">
        <f>IF(AND(C8&gt;0,C14&gt;0,C15&gt;0),0.296*C8+0.294*C14+0.344*C15-62.847,"")</f>
        <v>-0.61780000000000967</v>
      </c>
      <c r="U7" s="12">
        <f t="shared" si="2"/>
        <v>0.35028197228969443</v>
      </c>
      <c r="V7" s="13" t="str" cm="1">
        <f t="array" ref="V7">_xlfn.IFS(T7="","",T7&lt;-2.94,"F",AND(T7&gt;=-2.94,T7&lt;-1.73),"pF",AND(T7&gt;=-1.73,T7&lt;1.73),"ND",AND(T7&gt;=1.73,T7&lt;2.94),"pM",T7&gt;2.94,"M")</f>
        <v>ND</v>
      </c>
      <c r="W7" s="14" t="str" cm="1">
        <f t="array" ref="W7">_xlfn.IFS(T7="","",T7&lt;0,"F",T7=0,"ND",T7&gt;0,"M")</f>
        <v>F</v>
      </c>
      <c r="X7" s="31" t="s">
        <v>125</v>
      </c>
      <c r="Y7" s="39"/>
    </row>
    <row r="8" spans="1:25" x14ac:dyDescent="0.25">
      <c r="A8" s="39"/>
      <c r="B8" s="5" t="s">
        <v>2</v>
      </c>
      <c r="C8" s="10">
        <v>113.2</v>
      </c>
      <c r="D8" s="58"/>
      <c r="E8" s="27" t="s">
        <v>2</v>
      </c>
      <c r="F8" s="28">
        <f>IF(C8&gt;0,0.103*C8-11.377,"")</f>
        <v>0.28259999999999863</v>
      </c>
      <c r="G8" s="12">
        <f t="shared" si="0"/>
        <v>0.57018353298098723</v>
      </c>
      <c r="H8" s="13" t="str" cm="1">
        <f t="array" ref="H8">_xlfn.IFS(F8="","",F8&lt;-2.94,"F",AND(F8&gt;=-2.94,F8&lt;-1.73),"pF",AND(F8&gt;=-1.73,F8&lt;1.73),"ND",AND(F8&gt;=1.73,F8&lt;2.94),"pM",F8&gt;2.94,"M")</f>
        <v>ND</v>
      </c>
      <c r="I8" s="14" t="str" cm="1">
        <f t="array" ref="I8">_xlfn.IFS(F8="","",F8&lt;0,"F",F8=0,"ND",F8&gt;0,"M")</f>
        <v>M</v>
      </c>
      <c r="J8" s="29" t="s">
        <v>100</v>
      </c>
      <c r="K8" s="45"/>
      <c r="L8" s="30" t="s">
        <v>31</v>
      </c>
      <c r="M8" s="66">
        <f>IF(AND(C19&gt;0,C20&gt;0),1.236*C19+0.242*C20-58.126,"")</f>
        <v>-10.103999999999999</v>
      </c>
      <c r="N8" s="12">
        <f t="shared" si="1"/>
        <v>4.091389118811463E-5</v>
      </c>
      <c r="O8" s="13" t="str" cm="1">
        <f t="array" ref="O8">_xlfn.IFS(M8="","",M8&lt;-2.94,"F",AND(M8&gt;=-2.94,M8&lt;-1.73),"pF",AND(M8&gt;=-1.73,M8&lt;1.73),"ND",AND(M8&gt;=1.73,M8&lt;2.94),"pM",M8&gt;2.94,"M")</f>
        <v>F</v>
      </c>
      <c r="P8" s="14" t="str" cm="1">
        <f t="array" ref="P8">_xlfn.IFS(M8="","",M8&lt;0,"F",M8=0,"ND",M8&gt;0,"M")</f>
        <v>F</v>
      </c>
      <c r="Q8" s="31" t="s">
        <v>82</v>
      </c>
      <c r="R8" s="45"/>
      <c r="S8" s="30" t="s">
        <v>49</v>
      </c>
      <c r="T8" s="66">
        <f>IF(AND(C10&gt;0,C14&gt;0,C15&gt;0),0.225*C10+0.468*C14+0.237*C15-51.377,"")</f>
        <v>0.93999999999999773</v>
      </c>
      <c r="U8" s="12">
        <f t="shared" si="2"/>
        <v>0.71909965741638338</v>
      </c>
      <c r="V8" s="13" t="str" cm="1">
        <f t="array" ref="V8">_xlfn.IFS(T8="","",T8&lt;-2.94,"F",AND(T8&gt;=-2.94,T8&lt;-1.73),"pF",AND(T8&gt;=-1.73,T8&lt;1.73),"ND",AND(T8&gt;=1.73,T8&lt;2.94),"pM",T8&gt;2.94,"M")</f>
        <v>ND</v>
      </c>
      <c r="W8" s="14" t="str" cm="1">
        <f t="array" ref="W8">_xlfn.IFS(T8="","",T8&lt;0,"F",T8=0,"ND",T8&gt;0,"M")</f>
        <v>M</v>
      </c>
      <c r="X8" s="31" t="s">
        <v>126</v>
      </c>
      <c r="Y8" s="39"/>
    </row>
    <row r="9" spans="1:25" x14ac:dyDescent="0.25">
      <c r="A9" s="39"/>
      <c r="B9" s="5" t="s">
        <v>3</v>
      </c>
      <c r="C9" s="10">
        <v>122</v>
      </c>
      <c r="D9" s="58"/>
      <c r="E9" s="27" t="s">
        <v>3</v>
      </c>
      <c r="F9" s="28">
        <f>IF(C9&gt;0,0.151*C9-18.615,"")</f>
        <v>-0.19299999999999784</v>
      </c>
      <c r="G9" s="12">
        <f t="shared" si="0"/>
        <v>0.45189921622993595</v>
      </c>
      <c r="H9" s="13" t="str" cm="1">
        <f t="array" ref="H9">_xlfn.IFS(F9="","",F9&lt;-2.94,"F",AND(F9&gt;=-2.94,F9&lt;-1.73),"pF",AND(F9&gt;=-1.73,F9&lt;1.73),"ND",AND(F9&gt;=1.73,F9&lt;2.94),"pM",F9&gt;2.94,"M")</f>
        <v>ND</v>
      </c>
      <c r="I9" s="14" t="str" cm="1">
        <f t="array" ref="I9">_xlfn.IFS(F9="","",F9&lt;0,"F",F9=0,"ND",F9&gt;0,"M")</f>
        <v>F</v>
      </c>
      <c r="J9" s="29" t="s">
        <v>101</v>
      </c>
      <c r="K9" s="45"/>
      <c r="L9" s="30" t="s">
        <v>32</v>
      </c>
      <c r="M9" s="66">
        <f>IF(AND(C17&gt;0,C19&gt;0),0.337*C17+1.448*C19-63.027,"")</f>
        <v>-10.995699999999999</v>
      </c>
      <c r="N9" s="12">
        <f t="shared" si="1"/>
        <v>1.6773391381045035E-5</v>
      </c>
      <c r="O9" s="13" t="str" cm="1">
        <f t="array" ref="O9">_xlfn.IFS(M9="","",M9&lt;-2.94,"F",AND(M9&gt;=-2.94,M9&lt;-1.73),"pF",AND(M9&gt;=-1.73,M9&lt;1.73),"ND",AND(M9&gt;=1.73,M9&lt;2.94),"pM",M9&gt;2.94,"M")</f>
        <v>F</v>
      </c>
      <c r="P9" s="14" t="str" cm="1">
        <f t="array" ref="P9">_xlfn.IFS(M9="","",M9&lt;0,"F",M9=0,"ND",M9&gt;0,"M")</f>
        <v>F</v>
      </c>
      <c r="Q9" s="31" t="s">
        <v>83</v>
      </c>
      <c r="R9" s="45"/>
      <c r="S9" s="30" t="s">
        <v>50</v>
      </c>
      <c r="T9" s="66">
        <f>IF(AND(C6&gt;0,C12&gt;0,C13&gt;0),0.435*C6+-0.133*C12+0.178*C13-86.243,"")</f>
        <v>-5.3161000000000058</v>
      </c>
      <c r="U9" s="12">
        <f t="shared" si="2"/>
        <v>4.8878641559600396E-3</v>
      </c>
      <c r="V9" s="13" t="str" cm="1">
        <f t="array" ref="V9">_xlfn.IFS(T9="","",T9&lt;-2.94,"F",AND(T9&gt;=-2.94,T9&lt;-1.73),"pF",AND(T9&gt;=-1.73,T9&lt;1.73),"ND",AND(T9&gt;=1.73,T9&lt;2.94),"pM",T9&gt;2.94,"M")</f>
        <v>F</v>
      </c>
      <c r="W9" s="14" t="str" cm="1">
        <f t="array" ref="W9">_xlfn.IFS(T9="","",T9&lt;0,"F",T9=0,"ND",T9&gt;0,"M")</f>
        <v>F</v>
      </c>
      <c r="X9" s="31" t="s">
        <v>127</v>
      </c>
      <c r="Y9" s="39"/>
    </row>
    <row r="10" spans="1:25" x14ac:dyDescent="0.25">
      <c r="A10" s="39"/>
      <c r="B10" s="5" t="s">
        <v>4</v>
      </c>
      <c r="C10" s="10">
        <v>108</v>
      </c>
      <c r="D10" s="58"/>
      <c r="E10" s="27" t="s">
        <v>4</v>
      </c>
      <c r="F10" s="28">
        <f>IF(C10&gt;0,0.265*C10-26.342,"")</f>
        <v>2.2780000000000022</v>
      </c>
      <c r="G10" s="12">
        <f t="shared" si="0"/>
        <v>0.9070385448666558</v>
      </c>
      <c r="H10" s="13" t="str" cm="1">
        <f t="array" ref="H10">_xlfn.IFS(F10="","",F10&lt;-2.94,"F",AND(F10&gt;=-2.94,F10&lt;-1.73),"pF",AND(F10&gt;=-1.73,F10&lt;1.73),"ND",AND(F10&gt;=1.73,F10&lt;2.94),"pM",F10&gt;2.94,"M")</f>
        <v>pM</v>
      </c>
      <c r="I10" s="14" t="str" cm="1">
        <f t="array" ref="I10">_xlfn.IFS(F10="","",F10&lt;0,"F",F10=0,"ND",F10&gt;0,"M")</f>
        <v>M</v>
      </c>
      <c r="J10" s="29" t="s">
        <v>102</v>
      </c>
      <c r="K10" s="45"/>
      <c r="L10" s="30" t="s">
        <v>33</v>
      </c>
      <c r="M10" s="66">
        <f>IF(AND(C20&gt;0,C22&gt;0),0.312*C20+1.943*C22-32.964,"")</f>
        <v>-4.5569999999999951</v>
      </c>
      <c r="N10" s="12">
        <f t="shared" si="1"/>
        <v>1.0384522341956623E-2</v>
      </c>
      <c r="O10" s="13" t="str" cm="1">
        <f t="array" ref="O10">_xlfn.IFS(M10="","",M10&lt;-2.94,"F",AND(M10&gt;=-2.94,M10&lt;-1.73),"pF",AND(M10&gt;=-1.73,M10&lt;1.73),"ND",AND(M10&gt;=1.73,M10&lt;2.94),"pM",M10&gt;2.94,"M")</f>
        <v>F</v>
      </c>
      <c r="P10" s="14" t="str" cm="1">
        <f t="array" ref="P10">_xlfn.IFS(M10="","",M10&lt;0,"F",M10=0,"ND",M10&gt;0,"M")</f>
        <v>F</v>
      </c>
      <c r="Q10" s="31" t="s">
        <v>84</v>
      </c>
      <c r="R10" s="45"/>
      <c r="S10" s="30" t="s">
        <v>51</v>
      </c>
      <c r="T10" s="66">
        <f>IF(AND(C8&gt;0,C15&gt;0),0.208*C8+0.341*C15-43.935,"")</f>
        <v>-0.95239999999999725</v>
      </c>
      <c r="U10" s="12">
        <f t="shared" si="2"/>
        <v>0.27840241882135919</v>
      </c>
      <c r="V10" s="13" t="str" cm="1">
        <f t="array" ref="V10">_xlfn.IFS(T10="","",T10&lt;-2.94,"F",AND(T10&gt;=-2.94,T10&lt;-1.73),"pF",AND(T10&gt;=-1.73,T10&lt;1.73),"ND",AND(T10&gt;=1.73,T10&lt;2.94),"pM",T10&gt;2.94,"M")</f>
        <v>ND</v>
      </c>
      <c r="W10" s="14" t="str" cm="1">
        <f t="array" ref="W10">_xlfn.IFS(T10="","",T10&lt;0,"F",T10=0,"ND",T10&gt;0,"M")</f>
        <v>F</v>
      </c>
      <c r="X10" s="31" t="s">
        <v>128</v>
      </c>
      <c r="Y10" s="39"/>
    </row>
    <row r="11" spans="1:25" x14ac:dyDescent="0.25">
      <c r="A11" s="39"/>
      <c r="B11" s="5" t="s">
        <v>5</v>
      </c>
      <c r="C11" s="10">
        <v>117.3</v>
      </c>
      <c r="D11" s="58"/>
      <c r="E11" s="27" t="s">
        <v>5</v>
      </c>
      <c r="F11" s="28">
        <f>IF(C11&gt;0,0.521*C11-63.278,"")</f>
        <v>-2.1646999999999963</v>
      </c>
      <c r="G11" s="12">
        <f t="shared" si="0"/>
        <v>0.10296553160619093</v>
      </c>
      <c r="H11" s="13" t="str" cm="1">
        <f t="array" ref="H11">_xlfn.IFS(F11="","",F11&lt;-2.94,"F",AND(F11&gt;=-2.94,F11&lt;-1.73),"pF",AND(F11&gt;=-1.73,F11&lt;1.73),"ND",AND(F11&gt;=1.73,F11&lt;2.94),"pM",F11&gt;2.94,"M")</f>
        <v>pF</v>
      </c>
      <c r="I11" s="14" t="str" cm="1">
        <f t="array" ref="I11">_xlfn.IFS(F11="","",F11&lt;0,"F",F11=0,"ND",F11&gt;0,"M")</f>
        <v>F</v>
      </c>
      <c r="J11" s="29" t="s">
        <v>103</v>
      </c>
      <c r="K11" s="45"/>
      <c r="L11" s="30" t="s">
        <v>34</v>
      </c>
      <c r="M11" s="66">
        <f>IF(AND(C18&gt;0,C21&gt;0,C22&gt;0),0.534*C18+-0.282*C21+2.174*C22-26.599,"")</f>
        <v>-3.6487000000000016</v>
      </c>
      <c r="N11" s="12">
        <f t="shared" si="1"/>
        <v>2.5364821285944673E-2</v>
      </c>
      <c r="O11" s="13" t="str" cm="1">
        <f t="array" ref="O11">_xlfn.IFS(M11="","",M11&lt;-2.94,"F",AND(M11&gt;=-2.94,M11&lt;-1.73),"pF",AND(M11&gt;=-1.73,M11&lt;1.73),"ND",AND(M11&gt;=1.73,M11&lt;2.94),"pM",M11&gt;2.94,"M")</f>
        <v>F</v>
      </c>
      <c r="P11" s="14" t="str" cm="1">
        <f t="array" ref="P11">_xlfn.IFS(M11="","",M11&lt;0,"F",M11=0,"ND",M11&gt;0,"M")</f>
        <v>F</v>
      </c>
      <c r="Q11" s="31" t="s">
        <v>85</v>
      </c>
      <c r="R11" s="45"/>
      <c r="S11" s="30" t="s">
        <v>52</v>
      </c>
      <c r="T11" s="66">
        <f>IF(AND(C11&gt;0,C12&gt;0,C14&gt;0),11.681*C11+-13.183*C12+14.198*C14-1013.141,"")</f>
        <v>-92.674199999999928</v>
      </c>
      <c r="U11" s="12">
        <f t="shared" si="2"/>
        <v>5.6507530121013574E-41</v>
      </c>
      <c r="V11" s="13" t="str" cm="1">
        <f t="array" ref="V11">_xlfn.IFS(T11="","",T11&lt;-2.94,"F",AND(T11&gt;=-2.94,T11&lt;-1.73),"pF",AND(T11&gt;=-1.73,T11&lt;1.73),"ND",AND(T11&gt;=1.73,T11&lt;2.94),"pM",T11&gt;2.94,"M")</f>
        <v>F</v>
      </c>
      <c r="W11" s="14" t="str" cm="1">
        <f t="array" ref="W11">_xlfn.IFS(T11="","",T11&lt;0,"F",T11=0,"ND",T11&gt;0,"M")</f>
        <v>F</v>
      </c>
      <c r="X11" s="31" t="s">
        <v>129</v>
      </c>
      <c r="Y11" s="39"/>
    </row>
    <row r="12" spans="1:25" x14ac:dyDescent="0.25">
      <c r="A12" s="39"/>
      <c r="B12" s="5" t="s">
        <v>6</v>
      </c>
      <c r="C12" s="10">
        <v>67.5</v>
      </c>
      <c r="D12" s="58"/>
      <c r="E12" s="27" t="s">
        <v>6</v>
      </c>
      <c r="F12" s="28">
        <f>IF(C12&gt;0,0.104*C12-6.694,"")</f>
        <v>0.32599999999999962</v>
      </c>
      <c r="G12" s="12">
        <f t="shared" si="0"/>
        <v>0.58078579812599052</v>
      </c>
      <c r="H12" s="13" t="str" cm="1">
        <f t="array" ref="H12">_xlfn.IFS(F12="","",F12&lt;-2.94,"F",AND(F12&gt;=-2.94,F12&lt;-1.73),"pF",AND(F12&gt;=-1.73,F12&lt;1.73),"ND",AND(F12&gt;=1.73,F12&lt;2.94),"pM",F12&gt;2.94,"M")</f>
        <v>ND</v>
      </c>
      <c r="I12" s="14" t="str" cm="1">
        <f t="array" ref="I12">_xlfn.IFS(F12="","",F12&lt;0,"F",F12=0,"ND",F12&gt;0,"M")</f>
        <v>M</v>
      </c>
      <c r="J12" s="29" t="s">
        <v>104</v>
      </c>
      <c r="K12" s="45"/>
      <c r="L12" s="30" t="s">
        <v>35</v>
      </c>
      <c r="M12" s="66">
        <f>IF(AND(C16&gt;0,C23&gt;0),0.421*C16+1.887*C23-70.769,"")</f>
        <v>-2.0063999999999993</v>
      </c>
      <c r="N12" s="12">
        <f t="shared" si="1"/>
        <v>0.11853259900865641</v>
      </c>
      <c r="O12" s="13" t="str" cm="1">
        <f t="array" ref="O12">_xlfn.IFS(M12="","",M12&lt;-2.94,"F",AND(M12&gt;=-2.94,M12&lt;-1.73),"pF",AND(M12&gt;=-1.73,M12&lt;1.73),"ND",AND(M12&gt;=1.73,M12&lt;2.94),"pM",M12&gt;2.94,"M")</f>
        <v>pF</v>
      </c>
      <c r="P12" s="14" t="str" cm="1">
        <f t="array" ref="P12">_xlfn.IFS(M12="","",M12&lt;0,"F",M12=0,"ND",M12&gt;0,"M")</f>
        <v>F</v>
      </c>
      <c r="Q12" s="31" t="s">
        <v>86</v>
      </c>
      <c r="R12" s="45"/>
      <c r="S12" s="30" t="s">
        <v>53</v>
      </c>
      <c r="T12" s="66">
        <f>IF(AND(C9&gt;0,C12&gt;0,C15&gt;0),0.3*C9+0.475*C12+0.362*C15-92.499,"")</f>
        <v>-3.2025000000000006</v>
      </c>
      <c r="U12" s="12">
        <f t="shared" si="2"/>
        <v>3.9071751686093351E-2</v>
      </c>
      <c r="V12" s="13" t="str" cm="1">
        <f t="array" ref="V12">_xlfn.IFS(T12="","",T12&lt;-2.94,"F",AND(T12&gt;=-2.94,T12&lt;-1.73),"pF",AND(T12&gt;=-1.73,T12&lt;1.73),"ND",AND(T12&gt;=1.73,T12&lt;2.94),"pM",T12&gt;2.94,"M")</f>
        <v>F</v>
      </c>
      <c r="W12" s="14" t="str" cm="1">
        <f t="array" ref="W12">_xlfn.IFS(T12="","",T12&lt;0,"F",T12=0,"ND",T12&gt;0,"M")</f>
        <v>F</v>
      </c>
      <c r="X12" s="31" t="s">
        <v>130</v>
      </c>
      <c r="Y12" s="39"/>
    </row>
    <row r="13" spans="1:25" x14ac:dyDescent="0.25">
      <c r="A13" s="39"/>
      <c r="B13" s="5" t="s">
        <v>7</v>
      </c>
      <c r="C13" s="10">
        <v>82.3</v>
      </c>
      <c r="D13" s="58"/>
      <c r="E13" s="27" t="s">
        <v>7</v>
      </c>
      <c r="F13" s="28">
        <f>IF(C13&gt;0,0.224*C13-20.085,"")</f>
        <v>-1.6498000000000026</v>
      </c>
      <c r="G13" s="12">
        <f t="shared" si="0"/>
        <v>0.16113598197989129</v>
      </c>
      <c r="H13" s="13" t="str" cm="1">
        <f t="array" ref="H13">_xlfn.IFS(F13="","",F13&lt;-2.94,"F",AND(F13&gt;=-2.94,F13&lt;-1.73),"pF",AND(F13&gt;=-1.73,F13&lt;1.73),"ND",AND(F13&gt;=1.73,F13&lt;2.94),"pM",F13&gt;2.94,"M")</f>
        <v>ND</v>
      </c>
      <c r="I13" s="14" t="str" cm="1">
        <f t="array" ref="I13">_xlfn.IFS(F13="","",F13&lt;0,"F",F13=0,"ND",F13&gt;0,"M")</f>
        <v>F</v>
      </c>
      <c r="J13" s="29" t="s">
        <v>105</v>
      </c>
      <c r="K13" s="45"/>
      <c r="L13" s="30" t="s">
        <v>36</v>
      </c>
      <c r="M13" s="66">
        <f>IF(AND(C16&gt;0,C18&gt;0,C19&gt;0),-0.562*C16+0.883*C18+1.928*C19-68.753,"")</f>
        <v>-13.935350000000007</v>
      </c>
      <c r="N13" s="12">
        <f t="shared" si="1"/>
        <v>8.8706206340965221E-7</v>
      </c>
      <c r="O13" s="13" t="str" cm="1">
        <f t="array" ref="O13">_xlfn.IFS(M13="","",M13&lt;-2.94,"F",AND(M13&gt;=-2.94,M13&lt;-1.73),"pF",AND(M13&gt;=-1.73,M13&lt;1.73),"ND",AND(M13&gt;=1.73,M13&lt;2.94),"pM",M13&gt;2.94,"M")</f>
        <v>F</v>
      </c>
      <c r="P13" s="14" t="str" cm="1">
        <f t="array" ref="P13">_xlfn.IFS(M13="","",M13&lt;0,"F",M13=0,"ND",M13&gt;0,"M")</f>
        <v>F</v>
      </c>
      <c r="Q13" s="31" t="s">
        <v>87</v>
      </c>
      <c r="R13" s="45"/>
      <c r="S13" s="30" t="s">
        <v>54</v>
      </c>
      <c r="T13" s="66">
        <f>IF(AND(C6&gt;0,C9&gt;0,C13&gt;0),0.495*C6+-0.028*C9+0.396*C13-122.001,"")</f>
        <v>-7.1911999999999949</v>
      </c>
      <c r="U13" s="12">
        <f t="shared" si="2"/>
        <v>7.526178959494698E-4</v>
      </c>
      <c r="V13" s="13" t="str" cm="1">
        <f t="array" ref="V13">_xlfn.IFS(T13="","",T13&lt;-2.94,"F",AND(T13&gt;=-2.94,T13&lt;-1.73),"pF",AND(T13&gt;=-1.73,T13&lt;1.73),"ND",AND(T13&gt;=1.73,T13&lt;2.94),"pM",T13&gt;2.94,"M")</f>
        <v>F</v>
      </c>
      <c r="W13" s="14" t="str" cm="1">
        <f t="array" ref="W13">_xlfn.IFS(T13="","",T13&lt;0,"F",T13=0,"ND",T13&gt;0,"M")</f>
        <v>F</v>
      </c>
      <c r="X13" s="31" t="s">
        <v>131</v>
      </c>
      <c r="Y13" s="39"/>
    </row>
    <row r="14" spans="1:25" ht="14.25" thickBot="1" x14ac:dyDescent="0.3">
      <c r="A14" s="39"/>
      <c r="B14" s="5" t="s">
        <v>8</v>
      </c>
      <c r="C14" s="10">
        <v>31</v>
      </c>
      <c r="D14" s="58"/>
      <c r="E14" s="27" t="s">
        <v>8</v>
      </c>
      <c r="F14" s="28">
        <f>IF(C14&gt;0,0.251*C14-7.353,"")</f>
        <v>0.42799999999999994</v>
      </c>
      <c r="G14" s="12">
        <f t="shared" si="0"/>
        <v>0.60539598591032073</v>
      </c>
      <c r="H14" s="13" t="str" cm="1">
        <f t="array" ref="H14">_xlfn.IFS(F14="","",F14&lt;-2.94,"F",AND(F14&gt;=-2.94,F14&lt;-1.73),"pF",AND(F14&gt;=-1.73,F14&lt;1.73),"ND",AND(F14&gt;=1.73,F14&lt;2.94),"pM",F14&gt;2.94,"M")</f>
        <v>ND</v>
      </c>
      <c r="I14" s="14" t="str" cm="1">
        <f t="array" ref="I14">_xlfn.IFS(F14="","",F14&lt;0,"F",F14=0,"ND",F14&gt;0,"M")</f>
        <v>M</v>
      </c>
      <c r="J14" s="29" t="s">
        <v>106</v>
      </c>
      <c r="K14" s="45"/>
      <c r="L14" s="32" t="s">
        <v>37</v>
      </c>
      <c r="M14" s="33">
        <f>IF(AND(C19&gt;0,C21&gt;0,C22&gt;0),1.07*C19+-0.64*C21+1.906*C22-51.735,"")</f>
        <v>-8.5969999999999942</v>
      </c>
      <c r="N14" s="15">
        <f t="shared" si="1"/>
        <v>1.8462484772500837E-4</v>
      </c>
      <c r="O14" s="16" t="str" cm="1">
        <f t="array" ref="O14">_xlfn.IFS(M14="","",M14&lt;-2.94,"F",AND(M14&gt;=-2.94,M14&lt;-1.73),"pF",AND(M14&gt;=-1.73,M14&lt;1.73),"ND",AND(M14&gt;=1.73,M14&lt;2.94),"pM",M14&gt;2.94,"M")</f>
        <v>F</v>
      </c>
      <c r="P14" s="17" t="str" cm="1">
        <f t="array" ref="P14">_xlfn.IFS(M14="","",M14&lt;0,"F",M14=0,"ND",M14&gt;0,"M")</f>
        <v>F</v>
      </c>
      <c r="Q14" s="34" t="s">
        <v>88</v>
      </c>
      <c r="R14" s="45"/>
      <c r="S14" s="32" t="s">
        <v>55</v>
      </c>
      <c r="T14" s="33">
        <f>IF(AND(C6&gt;0,C10&gt;0,C13&gt;0),0.294*C6+0.295*C10+0.167*C13-98.322,"")</f>
        <v>-1.8559000000000054</v>
      </c>
      <c r="U14" s="15">
        <f t="shared" si="2"/>
        <v>0.13518165646889879</v>
      </c>
      <c r="V14" s="16" t="str" cm="1">
        <f t="array" ref="V14">_xlfn.IFS(T14="","",T14&lt;-2.94,"F",AND(T14&gt;=-2.94,T14&lt;-1.73),"pF",AND(T14&gt;=-1.73,T14&lt;1.73),"ND",AND(T14&gt;=1.73,T14&lt;2.94),"pM",T14&gt;2.94,"M")</f>
        <v>pF</v>
      </c>
      <c r="W14" s="17" t="str" cm="1">
        <f t="array" ref="W14">_xlfn.IFS(T14="","",T14&lt;0,"F",T14=0,"ND",T14&gt;0,"M")</f>
        <v>F</v>
      </c>
      <c r="X14" s="34" t="s">
        <v>132</v>
      </c>
      <c r="Y14" s="39"/>
    </row>
    <row r="15" spans="1:25" ht="15" thickTop="1" thickBot="1" x14ac:dyDescent="0.3">
      <c r="A15" s="39"/>
      <c r="B15" s="5" t="s">
        <v>9</v>
      </c>
      <c r="C15" s="10">
        <v>57</v>
      </c>
      <c r="D15" s="58"/>
      <c r="E15" s="27" t="s">
        <v>9</v>
      </c>
      <c r="F15" s="28">
        <f>IF(C15&gt;0,0.184*C15-10.993,"")</f>
        <v>-0.50500000000000078</v>
      </c>
      <c r="G15" s="12">
        <f t="shared" si="0"/>
        <v>0.37636637170177384</v>
      </c>
      <c r="H15" s="13" t="str" cm="1">
        <f t="array" ref="H15">_xlfn.IFS(F15="","",F15&lt;-2.94,"F",AND(F15&gt;=-2.94,F15&lt;-1.73),"pF",AND(F15&gt;=-1.73,F15&lt;1.73),"ND",AND(F15&gt;=1.73,F15&lt;2.94),"pM",F15&gt;2.94,"M")</f>
        <v>ND</v>
      </c>
      <c r="I15" s="14" t="str" cm="1">
        <f t="array" ref="I15">_xlfn.IFS(F15="","",F15&lt;0,"F",F15=0,"ND",F15&gt;0,"M")</f>
        <v>F</v>
      </c>
      <c r="J15" s="29" t="s">
        <v>107</v>
      </c>
      <c r="K15" s="39"/>
      <c r="L15" s="47"/>
      <c r="M15" s="48"/>
      <c r="N15" s="49"/>
      <c r="O15" s="50"/>
      <c r="P15" s="51"/>
      <c r="Q15" s="52"/>
      <c r="R15" s="45"/>
      <c r="S15" s="45"/>
      <c r="T15" s="45"/>
      <c r="U15" s="45"/>
      <c r="V15" s="45"/>
      <c r="W15" s="45"/>
      <c r="X15" s="45"/>
      <c r="Y15" s="39"/>
    </row>
    <row r="16" spans="1:25" ht="15" thickTop="1" thickBot="1" x14ac:dyDescent="0.3">
      <c r="A16" s="39"/>
      <c r="B16" s="5" t="s">
        <v>10</v>
      </c>
      <c r="C16" s="10">
        <v>32.9</v>
      </c>
      <c r="D16" s="58"/>
      <c r="E16" s="27" t="s">
        <v>10</v>
      </c>
      <c r="F16" s="28">
        <f>IF(C16&gt;0,0.95*C16-32.304,"")</f>
        <v>-1.0490000000000066</v>
      </c>
      <c r="G16" s="12">
        <f t="shared" si="0"/>
        <v>0.25941717449628299</v>
      </c>
      <c r="H16" s="13" t="str" cm="1">
        <f t="array" ref="H16">_xlfn.IFS(F16="","",F16&lt;-2.94,"F",AND(F16&gt;=-2.94,F16&lt;-1.73),"pF",AND(F16&gt;=-1.73,F16&lt;1.73),"ND",AND(F16&gt;=1.73,F16&lt;2.94),"pM",F16&gt;2.94,"M")</f>
        <v>ND</v>
      </c>
      <c r="I16" s="14" t="str" cm="1">
        <f t="array" ref="I16">_xlfn.IFS(F16="","",F16&lt;0,"F",F16=0,"ND",F16&gt;0,"M")</f>
        <v>F</v>
      </c>
      <c r="J16" s="29" t="s">
        <v>108</v>
      </c>
      <c r="K16" s="45"/>
      <c r="L16" s="73" t="s">
        <v>144</v>
      </c>
      <c r="M16" s="74"/>
      <c r="N16" s="74"/>
      <c r="O16" s="74"/>
      <c r="P16" s="74"/>
      <c r="Q16" s="75"/>
      <c r="R16" s="45"/>
      <c r="S16" s="73" t="s">
        <v>146</v>
      </c>
      <c r="T16" s="74"/>
      <c r="U16" s="74"/>
      <c r="V16" s="74"/>
      <c r="W16" s="74"/>
      <c r="X16" s="75"/>
      <c r="Y16" s="39"/>
    </row>
    <row r="17" spans="1:25" ht="14.25" thickTop="1" x14ac:dyDescent="0.25">
      <c r="A17" s="39"/>
      <c r="B17" s="5" t="s">
        <v>11</v>
      </c>
      <c r="C17" s="10">
        <v>16.899999999999999</v>
      </c>
      <c r="D17" s="58"/>
      <c r="E17" s="27" t="s">
        <v>11</v>
      </c>
      <c r="F17" s="28">
        <f>IF(C17&gt;0,0.957*C17-18.785,"")</f>
        <v>-2.6117000000000026</v>
      </c>
      <c r="G17" s="12">
        <f t="shared" si="0"/>
        <v>6.8389213601032173E-2</v>
      </c>
      <c r="H17" s="13" t="str" cm="1">
        <f t="array" ref="H17">_xlfn.IFS(F17="","",F17&lt;-2.94,"F",AND(F17&gt;=-2.94,F17&lt;-1.73),"pF",AND(F17&gt;=-1.73,F17&lt;1.73),"ND",AND(F17&gt;=1.73,F17&lt;2.94),"pM",F17&gt;2.94,"M")</f>
        <v>pF</v>
      </c>
      <c r="I17" s="14" t="str" cm="1">
        <f t="array" ref="I17">_xlfn.IFS(F17="","",F17&lt;0,"F",F17=0,"ND",F17&gt;0,"M")</f>
        <v>F</v>
      </c>
      <c r="J17" s="29" t="s">
        <v>109</v>
      </c>
      <c r="K17" s="45"/>
      <c r="L17" s="22" t="s">
        <v>28</v>
      </c>
      <c r="M17" s="23" t="s">
        <v>136</v>
      </c>
      <c r="N17" s="24" t="s">
        <v>138</v>
      </c>
      <c r="O17" s="24" t="s">
        <v>26</v>
      </c>
      <c r="P17" s="24" t="s">
        <v>27</v>
      </c>
      <c r="Q17" s="25" t="s">
        <v>139</v>
      </c>
      <c r="R17" s="45"/>
      <c r="S17" s="26" t="s">
        <v>28</v>
      </c>
      <c r="T17" s="23" t="s">
        <v>136</v>
      </c>
      <c r="U17" s="24" t="s">
        <v>138</v>
      </c>
      <c r="V17" s="24" t="s">
        <v>26</v>
      </c>
      <c r="W17" s="24" t="s">
        <v>27</v>
      </c>
      <c r="X17" s="25" t="s">
        <v>139</v>
      </c>
      <c r="Y17" s="39"/>
    </row>
    <row r="18" spans="1:25" x14ac:dyDescent="0.25">
      <c r="A18" s="39"/>
      <c r="B18" s="5" t="s">
        <v>12</v>
      </c>
      <c r="C18" s="10">
        <v>13.15</v>
      </c>
      <c r="D18" s="58"/>
      <c r="E18" s="27" t="s">
        <v>12</v>
      </c>
      <c r="F18" s="28">
        <f>IF(C18&gt;0,1.48*C18-21.941,"")</f>
        <v>-2.4789999999999992</v>
      </c>
      <c r="G18" s="12">
        <f t="shared" si="0"/>
        <v>7.7343533493376609E-2</v>
      </c>
      <c r="H18" s="13" t="str" cm="1">
        <f t="array" ref="H18">_xlfn.IFS(F18="","",F18&lt;-2.94,"F",AND(F18&gt;=-2.94,F18&lt;-1.73),"pF",AND(F18&gt;=-1.73,F18&lt;1.73),"ND",AND(F18&gt;=1.73,F18&lt;2.94),"pM",F18&gt;2.94,"M")</f>
        <v>pF</v>
      </c>
      <c r="I18" s="14" t="str" cm="1">
        <f t="array" ref="I18">_xlfn.IFS(F18="","",F18&lt;0,"F",F18=0,"ND",F18&gt;0,"M")</f>
        <v>F</v>
      </c>
      <c r="J18" s="29" t="s">
        <v>110</v>
      </c>
      <c r="K18" s="45"/>
      <c r="L18" s="30" t="s">
        <v>38</v>
      </c>
      <c r="M18" s="66">
        <f>IF(AND(C24&gt;0,C31&gt;0),0.144*C24+1.091*C31-114.142,"")</f>
        <v>-4.4950000000000045</v>
      </c>
      <c r="N18" s="12">
        <f t="shared" ref="N18:N26" si="3">IF(ISNUMBER(M18),1/(1+EXP(-M18)),"")</f>
        <v>1.1041406834271001E-2</v>
      </c>
      <c r="O18" s="13" t="str" cm="1">
        <f t="array" ref="O18">_xlfn.IFS(M18="","",M18&lt;-2.94,"F",AND(M18&gt;=-2.94,M18&lt;-1.73),"pF",AND(M18&gt;=-1.73,M18&lt;1.73),"ND",AND(M18&gt;=1.73,M18&lt;2.94),"pM",M18&gt;2.94,"M")</f>
        <v>F</v>
      </c>
      <c r="P18" s="14" t="str" cm="1">
        <f t="array" ref="P18">_xlfn.IFS(M18="","",M18&lt;0,"F",M18=0,"ND",M18&gt;0,"M")</f>
        <v>F</v>
      </c>
      <c r="Q18" s="31" t="s">
        <v>89</v>
      </c>
      <c r="R18" s="45"/>
      <c r="S18" s="30" t="s">
        <v>56</v>
      </c>
      <c r="T18" s="66" t="str">
        <f>IF(AND(C7&gt;0,C31&gt;0),0.116*C7 + 11.381*C31 - 567.377,"")</f>
        <v/>
      </c>
      <c r="U18" s="12" t="str">
        <f t="shared" ref="U18:U29" si="4">IF(ISNUMBER(T18),1/(1+EXP(-T18)),"")</f>
        <v/>
      </c>
      <c r="V18" s="13" t="str" cm="1">
        <f t="array" ref="V18">_xlfn.IFS(T18="","",T18&lt;-2.94,"F",AND(T18&gt;=-2.94,T18&lt;-1.73),"pF",AND(T18&gt;=-1.73,T18&lt;1.73),"ND",AND(T18&gt;=1.73,T18&lt;2.94),"pM",T18&gt;2.94,"M")</f>
        <v/>
      </c>
      <c r="W18" s="14" t="str" cm="1">
        <f t="array" ref="W18">_xlfn.IFS(T18="","",T18&lt;0,"F",T18=0,"ND",T18&gt;0,"M")</f>
        <v/>
      </c>
      <c r="X18" s="31" t="s">
        <v>68</v>
      </c>
      <c r="Y18" s="39"/>
    </row>
    <row r="19" spans="1:25" x14ac:dyDescent="0.25">
      <c r="A19" s="39"/>
      <c r="B19" s="5" t="s">
        <v>13</v>
      </c>
      <c r="C19" s="10">
        <v>32</v>
      </c>
      <c r="D19" s="58"/>
      <c r="E19" s="27" t="s">
        <v>13</v>
      </c>
      <c r="F19" s="28">
        <f>IF(C19&gt;0,1.439*C19-56.202,"")</f>
        <v>-10.153999999999996</v>
      </c>
      <c r="G19" s="12">
        <f t="shared" si="0"/>
        <v>3.8918574826846667E-5</v>
      </c>
      <c r="H19" s="13" t="str" cm="1">
        <f t="array" ref="H19">_xlfn.IFS(F19="","",F19&lt;-2.94,"F",AND(F19&gt;=-2.94,F19&lt;-1.73),"pF",AND(F19&gt;=-1.73,F19&lt;1.73),"ND",AND(F19&gt;=1.73,F19&lt;2.94),"pM",F19&gt;2.94,"M")</f>
        <v>F</v>
      </c>
      <c r="I19" s="14" t="str" cm="1">
        <f t="array" ref="I19">_xlfn.IFS(F19="","",F19&lt;0,"F",F19=0,"ND",F19&gt;0,"M")</f>
        <v>F</v>
      </c>
      <c r="J19" s="29" t="s">
        <v>111</v>
      </c>
      <c r="K19" s="45"/>
      <c r="L19" s="30" t="s">
        <v>39</v>
      </c>
      <c r="M19" s="66">
        <f>IF(AND(C28&gt;0,C31&gt;0),0.105*C28+0.667*C31-69.558,"")</f>
        <v>-3.6330000000000098</v>
      </c>
      <c r="N19" s="12">
        <f t="shared" si="3"/>
        <v>2.5755853859439494E-2</v>
      </c>
      <c r="O19" s="13" t="str" cm="1">
        <f t="array" ref="O19">_xlfn.IFS(M19="","",M19&lt;-2.94,"F",AND(M19&gt;=-2.94,M19&lt;-1.73),"pF",AND(M19&gt;=-1.73,M19&lt;1.73),"ND",AND(M19&gt;=1.73,M19&lt;2.94),"pM",M19&gt;2.94,"M")</f>
        <v>F</v>
      </c>
      <c r="P19" s="14" t="str" cm="1">
        <f t="array" ref="P19">_xlfn.IFS(M19="","",M19&lt;0,"F",M19=0,"ND",M19&gt;0,"M")</f>
        <v>F</v>
      </c>
      <c r="Q19" s="31" t="s">
        <v>90</v>
      </c>
      <c r="R19" s="45"/>
      <c r="S19" s="30" t="s">
        <v>57</v>
      </c>
      <c r="T19" s="66">
        <f>IF(AND(C8&gt;0,C31&gt;0),0.112*C8 + 16.278*C31 - 809.136,"")</f>
        <v>-63.947599999999966</v>
      </c>
      <c r="U19" s="12">
        <f t="shared" si="4"/>
        <v>1.6900913890490844E-28</v>
      </c>
      <c r="V19" s="13" t="str" cm="1">
        <f t="array" ref="V19">_xlfn.IFS(T19="","",T19&lt;-2.94,"F",AND(T19&gt;=-2.94,T19&lt;-1.73),"pF",AND(T19&gt;=-1.73,T19&lt;1.73),"ND",AND(T19&gt;=1.73,T19&lt;2.94),"pM",T19&gt;2.94,"M")</f>
        <v>F</v>
      </c>
      <c r="W19" s="14" t="str" cm="1">
        <f t="array" ref="W19">_xlfn.IFS(T19="","",T19&lt;0,"F",T19=0,"ND",T19&gt;0,"M")</f>
        <v>F</v>
      </c>
      <c r="X19" s="31" t="s">
        <v>69</v>
      </c>
      <c r="Y19" s="39"/>
    </row>
    <row r="20" spans="1:25" x14ac:dyDescent="0.25">
      <c r="A20" s="39"/>
      <c r="B20" s="5" t="s">
        <v>14</v>
      </c>
      <c r="C20" s="10">
        <v>35</v>
      </c>
      <c r="D20" s="58"/>
      <c r="E20" s="27" t="s">
        <v>14</v>
      </c>
      <c r="F20" s="28">
        <f>IF(C20&gt;0,0.716*C20-29.371,"")</f>
        <v>-4.3109999999999999</v>
      </c>
      <c r="G20" s="12">
        <f t="shared" si="0"/>
        <v>1.3242408017959235E-2</v>
      </c>
      <c r="H20" s="13" t="str" cm="1">
        <f t="array" ref="H20">_xlfn.IFS(F20="","",F20&lt;-2.94,"F",AND(F20&gt;=-2.94,F20&lt;-1.73),"pF",AND(F20&gt;=-1.73,F20&lt;1.73),"ND",AND(F20&gt;=1.73,F20&lt;2.94),"pM",F20&gt;2.94,"M")</f>
        <v>F</v>
      </c>
      <c r="I20" s="14" t="str" cm="1">
        <f t="array" ref="I20">_xlfn.IFS(F20="","",F20&lt;0,"F",F20=0,"ND",F20&gt;0,"M")</f>
        <v>F</v>
      </c>
      <c r="J20" s="29" t="s">
        <v>112</v>
      </c>
      <c r="K20" s="45"/>
      <c r="L20" s="30" t="s">
        <v>40</v>
      </c>
      <c r="M20" s="66">
        <f>IF(AND(C25&gt;0,C26&gt;0),0.263*C25+1.124*C26-54.747,"")</f>
        <v>-3.7071499999999986</v>
      </c>
      <c r="N20" s="12">
        <f t="shared" si="3"/>
        <v>2.3959246889853143E-2</v>
      </c>
      <c r="O20" s="13" t="str" cm="1">
        <f t="array" ref="O20">_xlfn.IFS(M20="","",M20&lt;-2.94,"F",AND(M20&gt;=-2.94,M20&lt;-1.73),"pF",AND(M20&gt;=-1.73,M20&lt;1.73),"ND",AND(M20&gt;=1.73,M20&lt;2.94),"pM",M20&gt;2.94,"M")</f>
        <v>F</v>
      </c>
      <c r="P20" s="14" t="str" cm="1">
        <f t="array" ref="P20">_xlfn.IFS(M20="","",M20&lt;0,"F",M20=0,"ND",M20&gt;0,"M")</f>
        <v>F</v>
      </c>
      <c r="Q20" s="31" t="s">
        <v>91</v>
      </c>
      <c r="R20" s="45"/>
      <c r="S20" s="30" t="s">
        <v>58</v>
      </c>
      <c r="T20" s="66">
        <f>IF(AND(C6&gt;0,C31&gt;0),17.637*C6 + 139.564*C31 - 9983.487,"")</f>
        <v>-651.90599999999904</v>
      </c>
      <c r="U20" s="12">
        <f t="shared" si="4"/>
        <v>7.600138040187744E-284</v>
      </c>
      <c r="V20" s="13" t="str" cm="1">
        <f t="array" ref="V20">_xlfn.IFS(T20="","",T20&lt;-2.94,"F",AND(T20&gt;=-2.94,T20&lt;-1.73),"pF",AND(T20&gt;=-1.73,T20&lt;1.73),"ND",AND(T20&gt;=1.73,T20&lt;2.94),"pM",T20&gt;2.94,"M")</f>
        <v>F</v>
      </c>
      <c r="W20" s="14" t="str" cm="1">
        <f t="array" ref="W20">_xlfn.IFS(T20="","",T20&lt;0,"F",T20=0,"ND",T20&gt;0,"M")</f>
        <v>F</v>
      </c>
      <c r="X20" s="31" t="s">
        <v>70</v>
      </c>
      <c r="Y20" s="39"/>
    </row>
    <row r="21" spans="1:25" x14ac:dyDescent="0.25">
      <c r="A21" s="39"/>
      <c r="B21" s="5" t="s">
        <v>15</v>
      </c>
      <c r="C21" s="10">
        <v>12.9</v>
      </c>
      <c r="D21" s="58"/>
      <c r="E21" s="27" t="s">
        <v>15</v>
      </c>
      <c r="F21" s="28">
        <f>IF(C21&gt;0,1.172*C21-16.304,"")</f>
        <v>-1.1851999999999983</v>
      </c>
      <c r="G21" s="12">
        <f t="shared" si="0"/>
        <v>0.23411851086649729</v>
      </c>
      <c r="H21" s="13" t="str" cm="1">
        <f t="array" ref="H21">_xlfn.IFS(F21="","",F21&lt;-2.94,"F",AND(F21&gt;=-2.94,F21&lt;-1.73),"pF",AND(F21&gt;=-1.73,F21&lt;1.73),"ND",AND(F21&gt;=1.73,F21&lt;2.94),"pM",F21&gt;2.94,"M")</f>
        <v>ND</v>
      </c>
      <c r="I21" s="14" t="str" cm="1">
        <f t="array" ref="I21">_xlfn.IFS(F21="","",F21&lt;0,"F",F21=0,"ND",F21&gt;0,"M")</f>
        <v>F</v>
      </c>
      <c r="J21" s="29" t="s">
        <v>113</v>
      </c>
      <c r="K21" s="45"/>
      <c r="L21" s="30" t="s">
        <v>41</v>
      </c>
      <c r="M21" s="66">
        <f>IF(AND(C26&gt;0,C31&gt;0),0.88*C26+0.743*C31-72.77,"")</f>
        <v>-4.8829999999999956</v>
      </c>
      <c r="N21" s="12">
        <f t="shared" si="3"/>
        <v>7.5173190305718946E-3</v>
      </c>
      <c r="O21" s="13" t="str" cm="1">
        <f t="array" ref="O21">_xlfn.IFS(M21="","",M21&lt;-2.94,"F",AND(M21&gt;=-2.94,M21&lt;-1.73),"pF",AND(M21&gt;=-1.73,M21&lt;1.73),"ND",AND(M21&gt;=1.73,M21&lt;2.94),"pM",M21&gt;2.94,"M")</f>
        <v>F</v>
      </c>
      <c r="P21" s="14" t="str" cm="1">
        <f t="array" ref="P21">_xlfn.IFS(M21="","",M21&lt;0,"F",M21=0,"ND",M21&gt;0,"M")</f>
        <v>F</v>
      </c>
      <c r="Q21" s="31" t="s">
        <v>92</v>
      </c>
      <c r="R21" s="45"/>
      <c r="S21" s="30" t="s">
        <v>59</v>
      </c>
      <c r="T21" s="66">
        <f>IF(AND(C10&gt;0,C31&gt;0),5.852*C10 + 27.325*C31 - 1921.511,"")</f>
        <v>-59.869999999999891</v>
      </c>
      <c r="U21" s="12">
        <f t="shared" si="4"/>
        <v>9.9721629954474168E-27</v>
      </c>
      <c r="V21" s="13" t="str" cm="1">
        <f t="array" ref="V21">_xlfn.IFS(T21="","",T21&lt;-2.94,"F",AND(T21&gt;=-2.94,T21&lt;-1.73),"pF",AND(T21&gt;=-1.73,T21&lt;1.73),"ND",AND(T21&gt;=1.73,T21&lt;2.94),"pM",T21&gt;2.94,"M")</f>
        <v>F</v>
      </c>
      <c r="W21" s="14" t="str" cm="1">
        <f t="array" ref="W21">_xlfn.IFS(T21="","",T21&lt;0,"F",T21=0,"ND",T21&gt;0,"M")</f>
        <v>F</v>
      </c>
      <c r="X21" s="31" t="s">
        <v>71</v>
      </c>
      <c r="Y21" s="39"/>
    </row>
    <row r="22" spans="1:25" x14ac:dyDescent="0.25">
      <c r="A22" s="39"/>
      <c r="B22" s="5" t="s">
        <v>16</v>
      </c>
      <c r="C22" s="10">
        <v>9</v>
      </c>
      <c r="D22" s="58"/>
      <c r="E22" s="27" t="s">
        <v>16</v>
      </c>
      <c r="F22" s="28">
        <f>IF(C22&gt;0,2.876*C22-29.802,"")</f>
        <v>-3.9179999999999993</v>
      </c>
      <c r="G22" s="12">
        <f t="shared" si="0"/>
        <v>1.9493274427854132E-2</v>
      </c>
      <c r="H22" s="13" t="str" cm="1">
        <f t="array" ref="H22">_xlfn.IFS(F22="","",F22&lt;-2.94,"F",AND(F22&gt;=-2.94,F22&lt;-1.73),"pF",AND(F22&gt;=-1.73,F22&lt;1.73),"ND",AND(F22&gt;=1.73,F22&lt;2.94),"pM",F22&gt;2.94,"M")</f>
        <v>F</v>
      </c>
      <c r="I22" s="14" t="str" cm="1">
        <f t="array" ref="I22">_xlfn.IFS(F22="","",F22&lt;0,"F",F22=0,"ND",F22&gt;0,"M")</f>
        <v>F</v>
      </c>
      <c r="J22" s="29" t="s">
        <v>114</v>
      </c>
      <c r="K22" s="45"/>
      <c r="L22" s="30" t="s">
        <v>42</v>
      </c>
      <c r="M22" s="66">
        <f>IF(AND(C25&gt;0,C28&gt;0,C31&gt;0),2.671*C25+-0.076*C28+2.828*C31-181.265,"")</f>
        <v>-8.5477500000000077</v>
      </c>
      <c r="N22" s="12">
        <f t="shared" si="3"/>
        <v>1.9394344495451521E-4</v>
      </c>
      <c r="O22" s="13" t="str" cm="1">
        <f t="array" ref="O22">_xlfn.IFS(M22="","",M22&lt;-2.94,"F",AND(M22&gt;=-2.94,M22&lt;-1.73),"pF",AND(M22&gt;=-1.73,M22&lt;1.73),"ND",AND(M22&gt;=1.73,M22&lt;2.94),"pM",M22&gt;2.94,"M")</f>
        <v>F</v>
      </c>
      <c r="P22" s="14" t="str" cm="1">
        <f t="array" ref="P22">_xlfn.IFS(M22="","",M22&lt;0,"F",M22=0,"ND",M22&gt;0,"M")</f>
        <v>F</v>
      </c>
      <c r="Q22" s="31" t="s">
        <v>93</v>
      </c>
      <c r="R22" s="45"/>
      <c r="S22" s="30" t="s">
        <v>60</v>
      </c>
      <c r="T22" s="66">
        <f>IF(AND(C10&gt;0,C18&gt;0,C31&gt;0),4.959*C10 - 4.451*C18+18.158*C31 - 1316.058,"")</f>
        <v>-21.9066499999999</v>
      </c>
      <c r="U22" s="12">
        <f t="shared" si="4"/>
        <v>3.0624061473387534E-10</v>
      </c>
      <c r="V22" s="13" t="str" cm="1">
        <f t="array" ref="V22">_xlfn.IFS(T22="","",T22&lt;-2.94,"F",AND(T22&gt;=-2.94,T22&lt;-1.73),"pF",AND(T22&gt;=-1.73,T22&lt;1.73),"ND",AND(T22&gt;=1.73,T22&lt;2.94),"pM",T22&gt;2.94,"M")</f>
        <v>F</v>
      </c>
      <c r="W22" s="14" t="str" cm="1">
        <f t="array" ref="W22">_xlfn.IFS(T22="","",T22&lt;0,"F",T22=0,"ND",T22&gt;0,"M")</f>
        <v>F</v>
      </c>
      <c r="X22" s="31" t="s">
        <v>72</v>
      </c>
      <c r="Y22" s="39"/>
    </row>
    <row r="23" spans="1:25" x14ac:dyDescent="0.25">
      <c r="A23" s="39"/>
      <c r="B23" s="5" t="s">
        <v>17</v>
      </c>
      <c r="C23" s="10">
        <v>29.1</v>
      </c>
      <c r="D23" s="58"/>
      <c r="E23" s="27" t="s">
        <v>17</v>
      </c>
      <c r="F23" s="28">
        <f>IF(C23&gt;0,0.913*C23-27.823,"")</f>
        <v>-1.2546999999999997</v>
      </c>
      <c r="G23" s="12">
        <f t="shared" si="0"/>
        <v>0.22188760680275979</v>
      </c>
      <c r="H23" s="13" t="str" cm="1">
        <f t="array" ref="H23">_xlfn.IFS(F23="","",F23&lt;-2.94,"F",AND(F23&gt;=-2.94,F23&lt;-1.73),"pF",AND(F23&gt;=-1.73,F23&lt;1.73),"ND",AND(F23&gt;=1.73,F23&lt;2.94),"pM",F23&gt;2.94,"M")</f>
        <v>ND</v>
      </c>
      <c r="I23" s="14" t="str" cm="1">
        <f t="array" ref="I23">_xlfn.IFS(F23="","",F23&lt;0,"F",F23=0,"ND",F23&gt;0,"M")</f>
        <v>F</v>
      </c>
      <c r="J23" s="29" t="s">
        <v>115</v>
      </c>
      <c r="K23" s="45"/>
      <c r="L23" s="30" t="s">
        <v>43</v>
      </c>
      <c r="M23" s="66">
        <f>IF(AND(C25&gt;0,C30&gt;0,C31&gt;0),1.283*C25+0.299*C30+1.162*C31-97.447,"")</f>
        <v>-4.1242000000000019</v>
      </c>
      <c r="N23" s="12">
        <f t="shared" si="3"/>
        <v>1.5918919265485092E-2</v>
      </c>
      <c r="O23" s="13" t="str" cm="1">
        <f t="array" ref="O23">_xlfn.IFS(M23="","",M23&lt;-2.94,"F",AND(M23&gt;=-2.94,M23&lt;-1.73),"pF",AND(M23&gt;=-1.73,M23&lt;1.73),"ND",AND(M23&gt;=1.73,M23&lt;2.94),"pM",M23&gt;2.94,"M")</f>
        <v>F</v>
      </c>
      <c r="P23" s="14" t="str" cm="1">
        <f t="array" ref="P23">_xlfn.IFS(M23="","",M23&lt;0,"F",M23=0,"ND",M23&gt;0,"M")</f>
        <v>F</v>
      </c>
      <c r="Q23" s="31" t="s">
        <v>94</v>
      </c>
      <c r="R23" s="45"/>
      <c r="S23" s="30" t="s">
        <v>61</v>
      </c>
      <c r="T23" s="66">
        <f>IF(AND(C10&gt;0,C17&gt;0,C31&gt;0),4.241*C10 + 2.531*C17 + 17.606*C31 - 1339.822,"")</f>
        <v>-46.750099999999975</v>
      </c>
      <c r="U23" s="12">
        <f t="shared" si="4"/>
        <v>4.9738140131512987E-21</v>
      </c>
      <c r="V23" s="13" t="str" cm="1">
        <f t="array" ref="V23">_xlfn.IFS(T23="","",T23&lt;-2.94,"F",AND(T23&gt;=-2.94,T23&lt;-1.73),"pF",AND(T23&gt;=-1.73,T23&lt;1.73),"ND",AND(T23&gt;=1.73,T23&lt;2.94),"pM",T23&gt;2.94,"M")</f>
        <v>F</v>
      </c>
      <c r="W23" s="14" t="str" cm="1">
        <f t="array" ref="W23">_xlfn.IFS(T23="","",T23&lt;0,"F",T23=0,"ND",T23&gt;0,"M")</f>
        <v>F</v>
      </c>
      <c r="X23" s="31" t="s">
        <v>73</v>
      </c>
      <c r="Y23" s="39"/>
    </row>
    <row r="24" spans="1:25" x14ac:dyDescent="0.25">
      <c r="A24" s="39"/>
      <c r="B24" s="5" t="s">
        <v>18</v>
      </c>
      <c r="C24" s="10">
        <v>420.5</v>
      </c>
      <c r="D24" s="58"/>
      <c r="E24" s="27" t="s">
        <v>18</v>
      </c>
      <c r="F24" s="28">
        <f>IF(C24&gt;0,0.106*C24-45.532,"")</f>
        <v>-0.95899999999999608</v>
      </c>
      <c r="G24" s="12">
        <f t="shared" si="0"/>
        <v>0.2770784562016691</v>
      </c>
      <c r="H24" s="13" t="str" cm="1">
        <f t="array" ref="H24">_xlfn.IFS(F24="","",F24&lt;-2.94,"F",AND(F24&gt;=-2.94,F24&lt;-1.73),"pF",AND(F24&gt;=-1.73,F24&lt;1.73),"ND",AND(F24&gt;=1.73,F24&lt;2.94),"pM",F24&gt;2.94,"M")</f>
        <v>ND</v>
      </c>
      <c r="I24" s="14" t="str" cm="1">
        <f t="array" ref="I24">_xlfn.IFS(F24="","",F24&lt;0,"F",F24=0,"ND",F24&gt;0,"M")</f>
        <v>F</v>
      </c>
      <c r="J24" s="29" t="s">
        <v>116</v>
      </c>
      <c r="K24" s="45"/>
      <c r="L24" s="30" t="s">
        <v>44</v>
      </c>
      <c r="M24" s="66">
        <f>IF(AND(C26&gt;0,C29&gt;0,C31&gt;0),0.491*C26+0.698*C29+0.509*C31-67.745,"")</f>
        <v>-3.6303500000000071</v>
      </c>
      <c r="N24" s="12">
        <f t="shared" si="3"/>
        <v>2.5822432591203936E-2</v>
      </c>
      <c r="O24" s="13" t="str" cm="1">
        <f t="array" ref="O24">_xlfn.IFS(M24="","",M24&lt;-2.94,"F",AND(M24&gt;=-2.94,M24&lt;-1.73),"pF",AND(M24&gt;=-1.73,M24&lt;1.73),"ND",AND(M24&gt;=1.73,M24&lt;2.94),"pM",M24&gt;2.94,"M")</f>
        <v>F</v>
      </c>
      <c r="P24" s="14" t="str" cm="1">
        <f t="array" ref="P24">_xlfn.IFS(M24="","",M24&lt;0,"F",M24=0,"ND",M24&gt;0,"M")</f>
        <v>F</v>
      </c>
      <c r="Q24" s="31" t="s">
        <v>95</v>
      </c>
      <c r="R24" s="45"/>
      <c r="S24" s="30" t="s">
        <v>62</v>
      </c>
      <c r="T24" s="66">
        <f>IF(AND(C17&gt;0,C25&gt;0,C26&gt;0),0.49*C17 + 0.227*C25 + 1.102*C26 - 62.821,"")</f>
        <v>-5.3244499999999988</v>
      </c>
      <c r="U24" s="12">
        <f t="shared" si="4"/>
        <v>4.8474174312118116E-3</v>
      </c>
      <c r="V24" s="13" t="str" cm="1">
        <f t="array" ref="V24">_xlfn.IFS(T24="","",T24&lt;-2.94,"F",AND(T24&gt;=-2.94,T24&lt;-1.73),"pF",AND(T24&gt;=-1.73,T24&lt;1.73),"ND",AND(T24&gt;=1.73,T24&lt;2.94),"pM",T24&gt;2.94,"M")</f>
        <v>F</v>
      </c>
      <c r="W24" s="14" t="str" cm="1">
        <f t="array" ref="W24">_xlfn.IFS(T24="","",T24&lt;0,"F",T24=0,"ND",T24&gt;0,"M")</f>
        <v>F</v>
      </c>
      <c r="X24" s="31" t="s">
        <v>74</v>
      </c>
      <c r="Y24" s="39"/>
    </row>
    <row r="25" spans="1:25" x14ac:dyDescent="0.25">
      <c r="A25" s="39"/>
      <c r="B25" s="5" t="s">
        <v>19</v>
      </c>
      <c r="C25" s="10">
        <v>26.75</v>
      </c>
      <c r="D25" s="58"/>
      <c r="E25" s="27" t="s">
        <v>19</v>
      </c>
      <c r="F25" s="28">
        <f>IF(C25&gt;0,0.766*C25-20.538,"")</f>
        <v>-4.7499999999999432E-2</v>
      </c>
      <c r="G25" s="12">
        <f t="shared" si="0"/>
        <v>0.48812723224374732</v>
      </c>
      <c r="H25" s="13" t="str" cm="1">
        <f t="array" ref="H25">_xlfn.IFS(F25="","",F25&lt;-2.94,"F",AND(F25&gt;=-2.94,F25&lt;-1.73),"pF",AND(F25&gt;=-1.73,F25&lt;1.73),"ND",AND(F25&gt;=1.73,F25&lt;2.94),"pM",F25&gt;2.94,"M")</f>
        <v>ND</v>
      </c>
      <c r="I25" s="14" t="str" cm="1">
        <f t="array" ref="I25">_xlfn.IFS(F25="","",F25&lt;0,"F",F25=0,"ND",F25&gt;0,"M")</f>
        <v>F</v>
      </c>
      <c r="J25" s="29" t="s">
        <v>117</v>
      </c>
      <c r="K25" s="45"/>
      <c r="L25" s="30" t="s">
        <v>45</v>
      </c>
      <c r="M25" s="66">
        <f>IF(AND(C25&gt;0,C31&gt;0),1.084*C25+1.211*C31-88.404,"")</f>
        <v>-4.9119999999999919</v>
      </c>
      <c r="N25" s="12">
        <f t="shared" si="3"/>
        <v>7.3040169004194152E-3</v>
      </c>
      <c r="O25" s="13" t="str" cm="1">
        <f t="array" ref="O25">_xlfn.IFS(M25="","",M25&lt;-2.94,"F",AND(M25&gt;=-2.94,M25&lt;-1.73),"pF",AND(M25&gt;=-1.73,M25&lt;1.73),"ND",AND(M25&gt;=1.73,M25&lt;2.94),"pM",M25&gt;2.94,"M")</f>
        <v>F</v>
      </c>
      <c r="P25" s="14" t="str" cm="1">
        <f t="array" ref="P25">_xlfn.IFS(M25="","",M25&lt;0,"F",M25=0,"ND",M25&gt;0,"M")</f>
        <v>F</v>
      </c>
      <c r="Q25" s="31" t="s">
        <v>96</v>
      </c>
      <c r="R25" s="45"/>
      <c r="S25" s="30" t="s">
        <v>63</v>
      </c>
      <c r="T25" s="66">
        <f>IF(AND(C6&gt;0,C8&gt;0,C19&gt;0),0.372*C6 + 0.254*C8 + 1.934*C19 - 173.383,"")</f>
        <v>-18.386200000000002</v>
      </c>
      <c r="U25" s="12">
        <f t="shared" si="4"/>
        <v>1.0350820858801019E-8</v>
      </c>
      <c r="V25" s="13" t="str" cm="1">
        <f t="array" ref="V25">_xlfn.IFS(T25="","",T25&lt;-2.94,"F",AND(T25&gt;=-2.94,T25&lt;-1.73),"pF",AND(T25&gt;=-1.73,T25&lt;1.73),"ND",AND(T25&gt;=1.73,T25&lt;2.94),"pM",T25&gt;2.94,"M")</f>
        <v>F</v>
      </c>
      <c r="W25" s="14" t="str" cm="1">
        <f t="array" ref="W25">_xlfn.IFS(T25="","",T25&lt;0,"F",T25=0,"ND",T25&gt;0,"M")</f>
        <v>F</v>
      </c>
      <c r="X25" s="31" t="s">
        <v>75</v>
      </c>
      <c r="Y25" s="39"/>
    </row>
    <row r="26" spans="1:25" ht="14.25" thickBot="1" x14ac:dyDescent="0.3">
      <c r="A26" s="39"/>
      <c r="B26" s="5" t="s">
        <v>20</v>
      </c>
      <c r="C26" s="10">
        <v>39.15</v>
      </c>
      <c r="D26" s="58"/>
      <c r="E26" s="27" t="s">
        <v>20</v>
      </c>
      <c r="F26" s="28">
        <f>IF(C26&gt;0,1.277*C26-54.07,"")</f>
        <v>-4.0754500000000036</v>
      </c>
      <c r="G26" s="12">
        <f t="shared" si="0"/>
        <v>1.6700912091742626E-2</v>
      </c>
      <c r="H26" s="13" t="str" cm="1">
        <f t="array" ref="H26">_xlfn.IFS(F26="","",F26&lt;-2.94,"F",AND(F26&gt;=-2.94,F26&lt;-1.73),"pF",AND(F26&gt;=-1.73,F26&lt;1.73),"ND",AND(F26&gt;=1.73,F26&lt;2.94),"pM",F26&gt;2.94,"M")</f>
        <v>F</v>
      </c>
      <c r="I26" s="14" t="str" cm="1">
        <f t="array" ref="I26">_xlfn.IFS(F26="","",F26&lt;0,"F",F26=0,"ND",F26&gt;0,"M")</f>
        <v>F</v>
      </c>
      <c r="J26" s="29" t="s">
        <v>118</v>
      </c>
      <c r="K26" s="45"/>
      <c r="L26" s="32" t="s">
        <v>46</v>
      </c>
      <c r="M26" s="33">
        <f>IF(AND(C29&gt;0,C31&gt;0),0.859*C29+0.787*C31-65.271,"")</f>
        <v>-2.7974999999999994</v>
      </c>
      <c r="N26" s="15">
        <f t="shared" si="3"/>
        <v>5.7459420789428159E-2</v>
      </c>
      <c r="O26" s="16" t="str" cm="1">
        <f t="array" ref="O26">_xlfn.IFS(M26="","",M26&lt;-2.94,"F",AND(M26&gt;=-2.94,M26&lt;-1.73),"pF",AND(M26&gt;=-1.73,M26&lt;1.73),"ND",AND(M26&gt;=1.73,M26&lt;2.94),"pM",M26&gt;2.94,"M")</f>
        <v>pF</v>
      </c>
      <c r="P26" s="17" t="str" cm="1">
        <f t="array" ref="P26">_xlfn.IFS(M26="","",M26&lt;0,"F",M26=0,"ND",M26&gt;0,"M")</f>
        <v>F</v>
      </c>
      <c r="Q26" s="34" t="s">
        <v>97</v>
      </c>
      <c r="R26" s="45"/>
      <c r="S26" s="30" t="s">
        <v>64</v>
      </c>
      <c r="T26" s="66">
        <f>IF(AND(C6&gt;0,C23&gt;0,C20&gt;0),0.401*C6 - 0.771*C23 +1.902*C20 - 129.371,"")</f>
        <v>-15.864100000000008</v>
      </c>
      <c r="U26" s="12">
        <f t="shared" si="4"/>
        <v>1.2891660314231496E-7</v>
      </c>
      <c r="V26" s="13" t="str" cm="1">
        <f t="array" ref="V26">_xlfn.IFS(T26="","",T26&lt;-2.94,"F",AND(T26&gt;=-2.94,T26&lt;-1.73),"pF",AND(T26&gt;=-1.73,T26&lt;1.73),"ND",AND(T26&gt;=1.73,T26&lt;2.94),"pM",T26&gt;2.94,"M")</f>
        <v>F</v>
      </c>
      <c r="W26" s="14" t="str" cm="1">
        <f t="array" ref="W26">_xlfn.IFS(T26="","",T26&lt;0,"F",T26=0,"ND",T26&gt;0,"M")</f>
        <v>F</v>
      </c>
      <c r="X26" s="31" t="s">
        <v>76</v>
      </c>
      <c r="Y26" s="39"/>
    </row>
    <row r="27" spans="1:25" ht="14.25" thickTop="1" x14ac:dyDescent="0.25">
      <c r="A27" s="39"/>
      <c r="B27" s="5" t="s">
        <v>21</v>
      </c>
      <c r="C27" s="10">
        <v>37.75</v>
      </c>
      <c r="D27" s="58"/>
      <c r="E27" s="27" t="s">
        <v>21</v>
      </c>
      <c r="F27" s="28">
        <f>IF(C27&gt;0,1.178*C27-49.568,"")</f>
        <v>-5.0985000000000014</v>
      </c>
      <c r="G27" s="12">
        <f t="shared" si="0"/>
        <v>6.068842809140342E-3</v>
      </c>
      <c r="H27" s="13" t="str" cm="1">
        <f t="array" ref="H27">_xlfn.IFS(F27="","",F27&lt;-2.94,"F",AND(F27&gt;=-2.94,F27&lt;-1.73),"pF",AND(F27&gt;=-1.73,F27&lt;1.73),"ND",AND(F27&gt;=1.73,F27&lt;2.94),"pM",F27&gt;2.94,"M")</f>
        <v>F</v>
      </c>
      <c r="I27" s="14" t="str" cm="1">
        <f t="array" ref="I27">_xlfn.IFS(F27="","",F27&lt;0,"F",F27=0,"ND",F27&gt;0,"M")</f>
        <v>F</v>
      </c>
      <c r="J27" s="29" t="s">
        <v>119</v>
      </c>
      <c r="K27" s="45"/>
      <c r="L27" s="45"/>
      <c r="M27" s="45"/>
      <c r="N27" s="45"/>
      <c r="O27" s="45"/>
      <c r="P27" s="45"/>
      <c r="Q27" s="55"/>
      <c r="R27" s="45"/>
      <c r="S27" s="30" t="s">
        <v>65</v>
      </c>
      <c r="T27" s="66">
        <f>IF(AND(C8&gt;0,C18&gt;0,C28&gt;0),0.323*C8 + 0.989*C18 + 0.147*C28 - 105.691,"")</f>
        <v>-5.8480500000000006</v>
      </c>
      <c r="U27" s="12">
        <f t="shared" si="4"/>
        <v>2.8772181685785695E-3</v>
      </c>
      <c r="V27" s="13" t="str" cm="1">
        <f t="array" ref="V27">_xlfn.IFS(T27="","",T27&lt;-2.94,"F",AND(T27&gt;=-2.94,T27&lt;-1.73),"pF",AND(T27&gt;=-1.73,T27&lt;1.73),"ND",AND(T27&gt;=1.73,T27&lt;2.94),"pM",T27&gt;2.94,"M")</f>
        <v>F</v>
      </c>
      <c r="W27" s="14" t="str" cm="1">
        <f t="array" ref="W27">_xlfn.IFS(T27="","",T27&lt;0,"F",T27=0,"ND",T27&gt;0,"M")</f>
        <v>F</v>
      </c>
      <c r="X27" s="31" t="s">
        <v>77</v>
      </c>
      <c r="Y27" s="39"/>
    </row>
    <row r="28" spans="1:25" x14ac:dyDescent="0.25">
      <c r="A28" s="39"/>
      <c r="B28" s="5" t="s">
        <v>22</v>
      </c>
      <c r="C28" s="10">
        <v>342</v>
      </c>
      <c r="D28" s="58"/>
      <c r="E28" s="27" t="s">
        <v>22</v>
      </c>
      <c r="F28" s="28">
        <f>IF(C28&gt;0,0.116*C28-41.733,"")</f>
        <v>-2.0609999999999928</v>
      </c>
      <c r="G28" s="12">
        <f t="shared" si="0"/>
        <v>0.11294560239357473</v>
      </c>
      <c r="H28" s="13" t="str" cm="1">
        <f t="array" ref="H28">_xlfn.IFS(F28="","",F28&lt;-2.94,"F",AND(F28&gt;=-2.94,F28&lt;-1.73),"pF",AND(F28&gt;=-1.73,F28&lt;1.73),"ND",AND(F28&gt;=1.73,F28&lt;2.94),"pM",F28&gt;2.94,"M")</f>
        <v>pF</v>
      </c>
      <c r="I28" s="14" t="str" cm="1">
        <f t="array" ref="I28">_xlfn.IFS(F28="","",F28&lt;0,"F",F28=0,"ND",F28&gt;0,"M")</f>
        <v>F</v>
      </c>
      <c r="J28" s="29" t="s">
        <v>120</v>
      </c>
      <c r="K28" s="45"/>
      <c r="L28" s="45"/>
      <c r="M28" s="45"/>
      <c r="N28" s="45"/>
      <c r="O28" s="45"/>
      <c r="P28" s="45"/>
      <c r="Q28" s="55"/>
      <c r="R28" s="45"/>
      <c r="S28" s="30" t="s">
        <v>66</v>
      </c>
      <c r="T28" s="66">
        <f>IF(AND(C8&gt;0,C25&gt;0,C26&gt;0),0.275*C8 + 0.735*C25 + 1.285*C26 - 106.902,"")</f>
        <v>-5.8030000000000115</v>
      </c>
      <c r="U28" s="12">
        <f t="shared" si="4"/>
        <v>3.0094018550826155E-3</v>
      </c>
      <c r="V28" s="13" t="str" cm="1">
        <f t="array" ref="V28">_xlfn.IFS(T28="","",T28&lt;-2.94,"F",AND(T28&gt;=-2.94,T28&lt;-1.73),"pF",AND(T28&gt;=-1.73,T28&lt;1.73),"ND",AND(T28&gt;=1.73,T28&lt;2.94),"pM",T28&gt;2.94,"M")</f>
        <v>F</v>
      </c>
      <c r="W28" s="14" t="str" cm="1">
        <f t="array" ref="W28">_xlfn.IFS(T28="","",T28&lt;0,"F",T28=0,"ND",T28&gt;0,"M")</f>
        <v>F</v>
      </c>
      <c r="X28" s="31" t="s">
        <v>78</v>
      </c>
      <c r="Y28" s="39"/>
    </row>
    <row r="29" spans="1:25" ht="14.25" thickBot="1" x14ac:dyDescent="0.3">
      <c r="A29" s="39"/>
      <c r="B29" s="5" t="s">
        <v>23</v>
      </c>
      <c r="C29" s="10">
        <v>31.5</v>
      </c>
      <c r="D29" s="58"/>
      <c r="E29" s="27" t="s">
        <v>23</v>
      </c>
      <c r="F29" s="28">
        <f>IF(C29&gt;0,0.867*C29-27.357,"")</f>
        <v>-4.6499999999998209E-2</v>
      </c>
      <c r="G29" s="12">
        <f t="shared" si="0"/>
        <v>0.48837709422686487</v>
      </c>
      <c r="H29" s="13" t="str" cm="1">
        <f t="array" ref="H29">_xlfn.IFS(F29="","",F29&lt;-2.94,"F",AND(F29&gt;=-2.94,F29&lt;-1.73),"pF",AND(F29&gt;=-1.73,F29&lt;1.73),"ND",AND(F29&gt;=1.73,F29&lt;2.94),"pM",F29&gt;2.94,"M")</f>
        <v>ND</v>
      </c>
      <c r="I29" s="14" t="str" cm="1">
        <f t="array" ref="I29">_xlfn.IFS(F29="","",F29&lt;0,"F",F29=0,"ND",F29&gt;0,"M")</f>
        <v>F</v>
      </c>
      <c r="J29" s="29" t="s">
        <v>121</v>
      </c>
      <c r="K29" s="45"/>
      <c r="L29" s="45"/>
      <c r="M29" s="45"/>
      <c r="N29" s="45"/>
      <c r="O29" s="45"/>
      <c r="P29" s="45"/>
      <c r="Q29" s="55"/>
      <c r="R29" s="45"/>
      <c r="S29" s="32" t="s">
        <v>67</v>
      </c>
      <c r="T29" s="33">
        <f>IF(AND(C22&gt;0,C27&gt;0,C30&gt;0),7.941*C22 + 2.796*C27 - 1.932*C30 - 160.648,"")</f>
        <v>-27.003400000000028</v>
      </c>
      <c r="U29" s="15">
        <f t="shared" si="4"/>
        <v>1.8731492699341411E-12</v>
      </c>
      <c r="V29" s="16" t="str" cm="1">
        <f t="array" ref="V29">_xlfn.IFS(T29="","",T29&lt;-2.94,"F",AND(T29&gt;=-2.94,T29&lt;-1.73),"pF",AND(T29&gt;=-1.73,T29&lt;1.73),"ND",AND(T29&gt;=1.73,T29&lt;2.94),"pM",T29&gt;2.94,"M")</f>
        <v>F</v>
      </c>
      <c r="W29" s="17" t="str" cm="1">
        <f t="array" ref="W29">_xlfn.IFS(T29="","",T29&lt;0,"F",T29=0,"ND",T29&gt;0,"M")</f>
        <v>F</v>
      </c>
      <c r="X29" s="34" t="s">
        <v>79</v>
      </c>
      <c r="Y29" s="39"/>
    </row>
    <row r="30" spans="1:25" ht="14.25" thickTop="1" x14ac:dyDescent="0.25">
      <c r="A30" s="39"/>
      <c r="B30" s="5" t="s">
        <v>24</v>
      </c>
      <c r="C30" s="10">
        <v>22.45</v>
      </c>
      <c r="D30" s="58"/>
      <c r="E30" s="27" t="s">
        <v>24</v>
      </c>
      <c r="F30" s="28">
        <f>IF(C30&gt;0,0.751*C30-15.744,"")</f>
        <v>1.115949999999998</v>
      </c>
      <c r="G30" s="12">
        <f t="shared" si="0"/>
        <v>0.75323671050843777</v>
      </c>
      <c r="H30" s="13" t="str" cm="1">
        <f t="array" ref="H30">_xlfn.IFS(F30="","",F30&lt;-2.94,"F",AND(F30&gt;=-2.94,F30&lt;-1.73),"pF",AND(F30&gt;=-1.73,F30&lt;1.73),"ND",AND(F30&gt;=1.73,F30&lt;2.94),"pM",F30&gt;2.94,"M")</f>
        <v>ND</v>
      </c>
      <c r="I30" s="14" t="str" cm="1">
        <f t="array" ref="I30">_xlfn.IFS(F30="","",F30&lt;0,"F",F30=0,"ND",F30&gt;0,"M")</f>
        <v>M</v>
      </c>
      <c r="J30" s="29" t="s">
        <v>122</v>
      </c>
      <c r="K30" s="45"/>
      <c r="L30" s="45"/>
      <c r="M30" s="45"/>
      <c r="N30" s="45"/>
      <c r="O30" s="45"/>
      <c r="P30" s="45"/>
      <c r="Q30" s="55"/>
      <c r="R30" s="45"/>
      <c r="S30" s="45"/>
      <c r="T30" s="45"/>
      <c r="U30" s="45"/>
      <c r="V30" s="45"/>
      <c r="W30" s="45"/>
      <c r="X30" s="45"/>
      <c r="Y30" s="39"/>
    </row>
    <row r="31" spans="1:25" ht="14.25" thickBot="1" x14ac:dyDescent="0.3">
      <c r="A31" s="39"/>
      <c r="B31" s="6" t="s">
        <v>25</v>
      </c>
      <c r="C31" s="11">
        <v>45</v>
      </c>
      <c r="D31" s="58"/>
      <c r="E31" s="35" t="s">
        <v>25</v>
      </c>
      <c r="F31" s="36">
        <f>IF(C31&gt;0,1.193*C31-57.831,"")</f>
        <v>-4.1460000000000008</v>
      </c>
      <c r="G31" s="15">
        <f t="shared" si="0"/>
        <v>1.5580990738663441E-2</v>
      </c>
      <c r="H31" s="16" t="str" cm="1">
        <f t="array" ref="H31">_xlfn.IFS(F31="","",F31&lt;-2.94,"F",AND(F31&gt;=-2.94,F31&lt;-1.73),"pF",AND(F31&gt;=-1.73,F31&lt;1.73),"ND",AND(F31&gt;=1.73,F31&lt;2.94),"pM",F31&gt;2.94,"M")</f>
        <v>F</v>
      </c>
      <c r="I31" s="17" t="str" cm="1">
        <f t="array" ref="I31">_xlfn.IFS(F31="","",F31&lt;0,"F",F31=0,"ND",F31&gt;0,"M")</f>
        <v>F</v>
      </c>
      <c r="J31" s="37" t="s">
        <v>123</v>
      </c>
      <c r="K31" s="45"/>
      <c r="L31" s="45"/>
      <c r="M31" s="45"/>
      <c r="N31" s="45"/>
      <c r="O31" s="45"/>
      <c r="P31" s="45"/>
      <c r="Q31" s="55"/>
      <c r="R31" s="45"/>
      <c r="S31" s="45"/>
      <c r="T31" s="45"/>
      <c r="U31" s="45"/>
      <c r="V31" s="45"/>
      <c r="W31" s="45"/>
      <c r="X31" s="45"/>
      <c r="Y31" s="39"/>
    </row>
    <row r="32" spans="1:25" ht="14.25" thickTop="1" x14ac:dyDescent="0.25">
      <c r="A32" s="39"/>
      <c r="B32" s="39"/>
      <c r="C32" s="40"/>
      <c r="D32" s="40"/>
      <c r="E32" s="53"/>
      <c r="F32" s="54"/>
      <c r="G32" s="53"/>
      <c r="H32" s="53"/>
      <c r="I32" s="53"/>
      <c r="J32" s="45"/>
      <c r="K32" s="45"/>
      <c r="L32" s="45"/>
      <c r="M32" s="45"/>
      <c r="N32" s="45"/>
      <c r="O32" s="45"/>
      <c r="P32" s="45"/>
      <c r="Q32" s="55"/>
      <c r="R32" s="45"/>
      <c r="S32" s="45"/>
      <c r="T32" s="45"/>
      <c r="U32" s="45"/>
      <c r="V32" s="45"/>
      <c r="W32" s="45"/>
      <c r="X32" s="45"/>
      <c r="Y32" s="39"/>
    </row>
    <row r="33" spans="1:25" x14ac:dyDescent="0.25">
      <c r="A33" s="39"/>
      <c r="B33" s="56" t="s">
        <v>230</v>
      </c>
      <c r="C33" s="40"/>
      <c r="D33" s="40"/>
      <c r="E33" s="40"/>
      <c r="F33" s="41"/>
      <c r="G33" s="40"/>
      <c r="H33" s="40"/>
      <c r="I33" s="40"/>
      <c r="J33" s="39"/>
      <c r="K33" s="39"/>
      <c r="L33" s="39"/>
      <c r="M33" s="39"/>
      <c r="N33" s="39"/>
      <c r="O33" s="39"/>
      <c r="P33" s="39"/>
      <c r="Q33" s="42"/>
      <c r="R33" s="39"/>
      <c r="S33" s="39"/>
      <c r="T33" s="39"/>
      <c r="U33" s="39"/>
      <c r="V33" s="39"/>
      <c r="W33" s="39"/>
      <c r="X33" s="39"/>
      <c r="Y33" s="39"/>
    </row>
    <row r="34" spans="1:25" x14ac:dyDescent="0.25">
      <c r="A34" s="39"/>
      <c r="B34" s="39"/>
      <c r="C34" s="40"/>
      <c r="D34" s="40"/>
      <c r="E34" s="40"/>
      <c r="F34" s="41"/>
      <c r="G34" s="40"/>
      <c r="H34" s="40"/>
      <c r="I34" s="40"/>
      <c r="J34" s="39"/>
      <c r="K34" s="39"/>
      <c r="L34" s="39"/>
      <c r="M34" s="39"/>
      <c r="N34" s="39"/>
      <c r="O34" s="39"/>
      <c r="P34" s="39"/>
      <c r="Q34" s="42"/>
      <c r="R34" s="39"/>
      <c r="S34" s="39"/>
      <c r="T34" s="39"/>
      <c r="U34" s="39"/>
      <c r="V34" s="39"/>
      <c r="W34" s="39"/>
      <c r="X34" s="39"/>
      <c r="Y34" s="39"/>
    </row>
    <row r="35" spans="1:25" x14ac:dyDescent="0.25">
      <c r="M35" s="2"/>
      <c r="N35" s="2"/>
      <c r="O35" s="2"/>
      <c r="P35" s="2"/>
    </row>
    <row r="36" spans="1:25" x14ac:dyDescent="0.25">
      <c r="M36" s="2"/>
      <c r="N36" s="2"/>
      <c r="O36" s="2"/>
      <c r="P36" s="2"/>
    </row>
    <row r="37" spans="1:25" x14ac:dyDescent="0.25">
      <c r="M37" s="2"/>
      <c r="N37" s="2"/>
      <c r="O37" s="2"/>
      <c r="P37" s="2"/>
    </row>
  </sheetData>
  <sheetProtection algorithmName="SHA-512" hashValue="EUjF3Zup/OPsOmGwZ2LvGouR9Io2OcxndhK0tIAXkRlW7gQMH8I3Wb9G0AKGiy/5OiSoZltN2S1ZgBTnxo+dqg==" saltValue="LfQIsgGYR4wWWjO0hwP1ew==" spinCount="100000" sheet="1" objects="1" scenarios="1"/>
  <mergeCells count="6">
    <mergeCell ref="B4:C4"/>
    <mergeCell ref="E4:J4"/>
    <mergeCell ref="L4:Q4"/>
    <mergeCell ref="S4:X4"/>
    <mergeCell ref="L16:Q16"/>
    <mergeCell ref="S16:X16"/>
  </mergeCells>
  <conditionalFormatting sqref="G6:G31">
    <cfRule type="colorScale" priority="41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H6:H31">
    <cfRule type="containsText" dxfId="40" priority="31" operator="containsText" text="F">
      <formula>NOT(ISERROR(SEARCH("F",H6)))</formula>
    </cfRule>
    <cfRule type="containsText" dxfId="39" priority="30" operator="containsText" text="pF">
      <formula>NOT(ISERROR(SEARCH("pF",H6)))</formula>
    </cfRule>
    <cfRule type="containsText" dxfId="38" priority="34" operator="containsText" text="M">
      <formula>NOT(ISERROR(SEARCH("M",H6)))</formula>
    </cfRule>
    <cfRule type="containsText" dxfId="37" priority="33" operator="containsText" text="pM">
      <formula>NOT(ISERROR(SEARCH("pM",H6)))</formula>
    </cfRule>
    <cfRule type="containsText" dxfId="36" priority="32" operator="containsText" text="ND">
      <formula>NOT(ISERROR(SEARCH("ND",H6)))</formula>
    </cfRule>
  </conditionalFormatting>
  <conditionalFormatting sqref="I6:I31">
    <cfRule type="containsText" dxfId="35" priority="36" operator="containsText" text="M">
      <formula>NOT(ISERROR(SEARCH("M",I6)))</formula>
    </cfRule>
    <cfRule type="containsText" dxfId="34" priority="35" operator="containsText" text="F">
      <formula>NOT(ISERROR(SEARCH("F",I6)))</formula>
    </cfRule>
    <cfRule type="containsText" dxfId="33" priority="29" operator="containsText" text="ND">
      <formula>NOT(ISERROR(SEARCH("ND",I6)))</formula>
    </cfRule>
  </conditionalFormatting>
  <conditionalFormatting sqref="N6:N14">
    <cfRule type="colorScale" priority="40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N15">
    <cfRule type="colorScale" priority="47">
      <colorScale>
        <cfvo type="percent" val="0"/>
        <cfvo type="percentile" val="50"/>
        <cfvo type="percent" val="100"/>
        <color rgb="FFC00000"/>
        <color rgb="FFFFEB84"/>
        <color theme="9" tint="-0.249977111117893"/>
      </colorScale>
    </cfRule>
  </conditionalFormatting>
  <conditionalFormatting sqref="N18:N26">
    <cfRule type="colorScale" priority="39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O6:O14">
    <cfRule type="containsText" dxfId="32" priority="19" operator="containsText" text="pM">
      <formula>NOT(ISERROR(SEARCH("pM",O6)))</formula>
    </cfRule>
    <cfRule type="containsText" dxfId="31" priority="16" operator="containsText" text="pF">
      <formula>NOT(ISERROR(SEARCH("pF",O6)))</formula>
    </cfRule>
    <cfRule type="containsText" dxfId="30" priority="17" operator="containsText" text="F">
      <formula>NOT(ISERROR(SEARCH("F",O6)))</formula>
    </cfRule>
    <cfRule type="containsText" dxfId="29" priority="20" operator="containsText" text="M">
      <formula>NOT(ISERROR(SEARCH("M",O6)))</formula>
    </cfRule>
  </conditionalFormatting>
  <conditionalFormatting sqref="O18:O26">
    <cfRule type="containsText" dxfId="28" priority="11" operator="containsText" text="pF">
      <formula>NOT(ISERROR(SEARCH("pF",O18)))</formula>
    </cfRule>
    <cfRule type="containsText" dxfId="27" priority="12" operator="containsText" text="F">
      <formula>NOT(ISERROR(SEARCH("F",O18)))</formula>
    </cfRule>
    <cfRule type="containsText" dxfId="26" priority="14" operator="containsText" text="pM">
      <formula>NOT(ISERROR(SEARCH("pM",O18)))</formula>
    </cfRule>
    <cfRule type="containsText" dxfId="25" priority="15" operator="containsText" text="M">
      <formula>NOT(ISERROR(SEARCH("M",O18)))</formula>
    </cfRule>
  </conditionalFormatting>
  <conditionalFormatting sqref="O6:P14">
    <cfRule type="containsText" dxfId="24" priority="18" operator="containsText" text="ND">
      <formula>NOT(ISERROR(SEARCH("ND",O6)))</formula>
    </cfRule>
  </conditionalFormatting>
  <conditionalFormatting sqref="O15:P15">
    <cfRule type="containsText" dxfId="23" priority="45" operator="containsText" text="pM">
      <formula>NOT(ISERROR(SEARCH("pM",O15)))</formula>
    </cfRule>
    <cfRule type="containsText" dxfId="22" priority="46" operator="containsText" text="M">
      <formula>NOT(ISERROR(SEARCH("M",O15)))</formula>
    </cfRule>
    <cfRule type="containsText" dxfId="21" priority="42" operator="containsText" text="pF">
      <formula>NOT(ISERROR(SEARCH("pF",O15)))</formula>
    </cfRule>
    <cfRule type="containsText" dxfId="20" priority="43" operator="containsText" text="F">
      <formula>NOT(ISERROR(SEARCH("F",O15)))</formula>
    </cfRule>
    <cfRule type="containsText" dxfId="19" priority="44" operator="containsText" text="ND">
      <formula>NOT(ISERROR(SEARCH("ND",O15)))</formula>
    </cfRule>
  </conditionalFormatting>
  <conditionalFormatting sqref="O18:P26">
    <cfRule type="containsText" dxfId="18" priority="13" operator="containsText" text="ND">
      <formula>NOT(ISERROR(SEARCH("ND",O18)))</formula>
    </cfRule>
  </conditionalFormatting>
  <conditionalFormatting sqref="P6:P14">
    <cfRule type="containsText" dxfId="17" priority="27" operator="containsText" text="F">
      <formula>NOT(ISERROR(SEARCH("F",P6)))</formula>
    </cfRule>
    <cfRule type="containsText" dxfId="16" priority="28" operator="containsText" text="M">
      <formula>NOT(ISERROR(SEARCH("M",P6)))</formula>
    </cfRule>
  </conditionalFormatting>
  <conditionalFormatting sqref="P18:P26">
    <cfRule type="containsText" dxfId="15" priority="25" operator="containsText" text="F">
      <formula>NOT(ISERROR(SEARCH("F",P18)))</formula>
    </cfRule>
    <cfRule type="containsText" dxfId="14" priority="26" operator="containsText" text="M">
      <formula>NOT(ISERROR(SEARCH("M",P18)))</formula>
    </cfRule>
  </conditionalFormatting>
  <conditionalFormatting sqref="U6:U14">
    <cfRule type="colorScale" priority="38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U18:U29">
    <cfRule type="colorScale" priority="37">
      <colorScale>
        <cfvo type="num" val="0"/>
        <cfvo type="num" val="0.5"/>
        <cfvo type="num" val="1"/>
        <color rgb="FFFF3737"/>
        <color rgb="FFFFEB84"/>
        <color rgb="FF669900"/>
      </colorScale>
    </cfRule>
  </conditionalFormatting>
  <conditionalFormatting sqref="V6:V14">
    <cfRule type="containsText" dxfId="13" priority="10" operator="containsText" text="M">
      <formula>NOT(ISERROR(SEARCH("M",V6)))</formula>
    </cfRule>
    <cfRule type="containsText" dxfId="12" priority="9" operator="containsText" text="pM">
      <formula>NOT(ISERROR(SEARCH("pM",V6)))</formula>
    </cfRule>
    <cfRule type="containsText" dxfId="11" priority="7" operator="containsText" text="F">
      <formula>NOT(ISERROR(SEARCH("F",V6)))</formula>
    </cfRule>
    <cfRule type="containsText" dxfId="10" priority="6" operator="containsText" text="pF">
      <formula>NOT(ISERROR(SEARCH("pF",V6)))</formula>
    </cfRule>
  </conditionalFormatting>
  <conditionalFormatting sqref="V18:V29">
    <cfRule type="containsText" dxfId="9" priority="2" operator="containsText" text="F">
      <formula>NOT(ISERROR(SEARCH("F",V18)))</formula>
    </cfRule>
    <cfRule type="containsText" dxfId="8" priority="1" operator="containsText" text="pF">
      <formula>NOT(ISERROR(SEARCH("pF",V18)))</formula>
    </cfRule>
    <cfRule type="containsText" dxfId="7" priority="5" operator="containsText" text="M">
      <formula>NOT(ISERROR(SEARCH("M",V18)))</formula>
    </cfRule>
    <cfRule type="containsText" dxfId="6" priority="4" operator="containsText" text="pM">
      <formula>NOT(ISERROR(SEARCH("pM",V18)))</formula>
    </cfRule>
  </conditionalFormatting>
  <conditionalFormatting sqref="V6:W14">
    <cfRule type="containsText" dxfId="5" priority="8" operator="containsText" text="ND">
      <formula>NOT(ISERROR(SEARCH("ND",V6)))</formula>
    </cfRule>
  </conditionalFormatting>
  <conditionalFormatting sqref="V18:W29">
    <cfRule type="containsText" dxfId="4" priority="3" operator="containsText" text="ND">
      <formula>NOT(ISERROR(SEARCH("ND",V18)))</formula>
    </cfRule>
  </conditionalFormatting>
  <conditionalFormatting sqref="W6:W14">
    <cfRule type="containsText" dxfId="3" priority="24" operator="containsText" text="M">
      <formula>NOT(ISERROR(SEARCH("M",W6)))</formula>
    </cfRule>
    <cfRule type="containsText" dxfId="2" priority="23" operator="containsText" text="F">
      <formula>NOT(ISERROR(SEARCH("F",W6)))</formula>
    </cfRule>
  </conditionalFormatting>
  <conditionalFormatting sqref="W18:W29">
    <cfRule type="containsText" dxfId="1" priority="22" operator="containsText" text="M">
      <formula>NOT(ISERROR(SEARCH("M",W18)))</formula>
    </cfRule>
    <cfRule type="containsText" dxfId="0" priority="21" operator="containsText" text="F">
      <formula>NOT(ISERROR(SEARCH("F",W18)))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519D37DE0C4283938279BF50A8CB" ma:contentTypeVersion="14" ma:contentTypeDescription="Vytvoří nový dokument" ma:contentTypeScope="" ma:versionID="73856ed887c595278f4a64bf0271ea1d">
  <xsd:schema xmlns:xsd="http://www.w3.org/2001/XMLSchema" xmlns:xs="http://www.w3.org/2001/XMLSchema" xmlns:p="http://schemas.microsoft.com/office/2006/metadata/properties" xmlns:ns2="78c17734-4d0d-4c75-829a-9bff7fc7f4b9" xmlns:ns3="6a35c1a2-dd28-4aa3-a9b6-92c5afe186cf" targetNamespace="http://schemas.microsoft.com/office/2006/metadata/properties" ma:root="true" ma:fieldsID="2a027c1b59cd3d970d026ba315c7fe20" ns2:_="" ns3:_="">
    <xsd:import namespace="78c17734-4d0d-4c75-829a-9bff7fc7f4b9"/>
    <xsd:import namespace="6a35c1a2-dd28-4aa3-a9b6-92c5afe18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17734-4d0d-4c75-829a-9bff7fc7f4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51e6f024-4790-4b5c-b7d7-a90983c0c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5c1a2-dd28-4aa3-a9b6-92c5afe186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37620b-83e6-4f44-b550-33499df2f7cb}" ma:internalName="TaxCatchAll" ma:showField="CatchAllData" ma:web="6a35c1a2-dd28-4aa3-a9b6-92c5afe18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c17734-4d0d-4c75-829a-9bff7fc7f4b9">
      <Terms xmlns="http://schemas.microsoft.com/office/infopath/2007/PartnerControls"/>
    </lcf76f155ced4ddcb4097134ff3c332f>
    <TaxCatchAll xmlns="6a35c1a2-dd28-4aa3-a9b6-92c5afe186cf" xsi:nil="true"/>
  </documentManagement>
</p:properties>
</file>

<file path=customXml/itemProps1.xml><?xml version="1.0" encoding="utf-8"?>
<ds:datastoreItem xmlns:ds="http://schemas.openxmlformats.org/officeDocument/2006/customXml" ds:itemID="{A5C02425-0BA2-409F-9123-6EF546296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c17734-4d0d-4c75-829a-9bff7fc7f4b9"/>
    <ds:schemaRef ds:uri="6a35c1a2-dd28-4aa3-a9b6-92c5afe18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3BBC2E-78CD-4EBD-B7DA-32A2E8CD6B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7F8817-5AEF-4CB1-BEB8-2C9FCE1D527C}">
  <ds:schemaRefs>
    <ds:schemaRef ds:uri="http://schemas.microsoft.com/office/2006/metadata/properties"/>
    <ds:schemaRef ds:uri="http://schemas.microsoft.com/office/infopath/2007/PartnerControls"/>
    <ds:schemaRef ds:uri="78c17734-4d0d-4c75-829a-9bff7fc7f4b9"/>
    <ds:schemaRef ds:uri="6a35c1a2-dd28-4aa3-a9b6-92c5afe18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Calculator</vt:lpstr>
      <vt:lpstr>Mesurement definition</vt:lpstr>
      <vt:lpstr>Case Male</vt:lpstr>
      <vt:lpstr>Case Female</vt:lpstr>
    </vt:vector>
  </TitlesOfParts>
  <Company>Národní muzeum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Brukner Havelková, Petra</dc:creator>
  <cp:lastModifiedBy>Brukner Havelková, Petra</cp:lastModifiedBy>
  <dcterms:created xsi:type="dcterms:W3CDTF">2025-07-29T11:44:16Z</dcterms:created>
  <dcterms:modified xsi:type="dcterms:W3CDTF">2025-08-05T13:43:25Z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0x0101002CF2519D37DE0C4283938279BF50A8CB</vt:lpwstr>
  </property>
  <property fmtid="{D5CDD505-2E9C-101B-9397-08002B2CF9AE}" pid="3" name="MediaServiceImageTags">
    <vt:lpwstr/>
  </property>
</Properties>
</file>