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boreb\Desktop\Resubmission\"/>
    </mc:Choice>
  </mc:AlternateContent>
  <xr:revisionPtr revIDLastSave="0" documentId="13_ncr:1_{EDAD85BA-5163-4324-9069-2E445D0EAC7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itle" sheetId="5" r:id="rId1"/>
    <sheet name="Supplementary Table 1" sheetId="1" r:id="rId2"/>
    <sheet name="Supplementary Table 2" sheetId="2" r:id="rId3"/>
    <sheet name="Supplementary Table 3" sheetId="3" r:id="rId4"/>
    <sheet name="Supplementary Table 4" sheetId="4" r:id="rId5"/>
  </sheets>
  <definedNames>
    <definedName name="_Hlk204256731" localSheetId="0">Title!#REF!</definedName>
    <definedName name="_Hlk204256747" localSheetId="0">Title!$B$10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4" i="2" l="1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</calcChain>
</file>

<file path=xl/sharedStrings.xml><?xml version="1.0" encoding="utf-8"?>
<sst xmlns="http://schemas.openxmlformats.org/spreadsheetml/2006/main" count="755" uniqueCount="514">
  <si>
    <t>Hydnellum tardum</t>
  </si>
  <si>
    <t>Hebeloma velutipes</t>
  </si>
  <si>
    <t>Hebeloma pumilum</t>
  </si>
  <si>
    <t>Cortinarius armeniacus</t>
  </si>
  <si>
    <t>PV800687</t>
  </si>
  <si>
    <t>PV800688</t>
  </si>
  <si>
    <t>PV800689</t>
  </si>
  <si>
    <t>PV800690</t>
  </si>
  <si>
    <t>PV800691</t>
  </si>
  <si>
    <t>PV800692</t>
  </si>
  <si>
    <t>PV800693</t>
  </si>
  <si>
    <t>PV800694</t>
  </si>
  <si>
    <t>PV800695</t>
  </si>
  <si>
    <t>Hydnellum aurantiacum</t>
  </si>
  <si>
    <t>Species name</t>
  </si>
  <si>
    <t>GenBank</t>
  </si>
  <si>
    <t>Fungarium</t>
  </si>
  <si>
    <t>Sample ID</t>
  </si>
  <si>
    <t>CH-027</t>
  </si>
  <si>
    <t>CH-007</t>
  </si>
  <si>
    <t>CH-047</t>
  </si>
  <si>
    <t>CH-106</t>
  </si>
  <si>
    <t>CH-089</t>
  </si>
  <si>
    <t>CH-053</t>
  </si>
  <si>
    <t>CH-112</t>
  </si>
  <si>
    <t>CH-113</t>
  </si>
  <si>
    <t>CH-033</t>
  </si>
  <si>
    <t>n.a.</t>
  </si>
  <si>
    <t>B-774</t>
  </si>
  <si>
    <t>Alnicola amarescens</t>
  </si>
  <si>
    <t>PRM 922492</t>
  </si>
  <si>
    <t>PRM 963289</t>
  </si>
  <si>
    <t>PRM 963290</t>
  </si>
  <si>
    <t>PRM 899911</t>
  </si>
  <si>
    <t>PRM 963291</t>
  </si>
  <si>
    <t>PRM 899917</t>
  </si>
  <si>
    <t>Myxomphalia maura</t>
  </si>
  <si>
    <t>PRM 963171</t>
  </si>
  <si>
    <t>CH-108</t>
  </si>
  <si>
    <t>PRM 935958</t>
  </si>
  <si>
    <t>Russula densifolia</t>
  </si>
  <si>
    <t>B-460a,b</t>
  </si>
  <si>
    <t>Helvella corium</t>
  </si>
  <si>
    <t>B-776</t>
  </si>
  <si>
    <t>[PRM 922488]</t>
  </si>
  <si>
    <t>Supplementary Table 2</t>
  </si>
  <si>
    <t>Sample</t>
  </si>
  <si>
    <t>Species</t>
  </si>
  <si>
    <t>Ca/Mg ratio</t>
  </si>
  <si>
    <t>CH-001</t>
  </si>
  <si>
    <t>Albatrellus ovinus</t>
  </si>
  <si>
    <t>Soil-326</t>
  </si>
  <si>
    <t>CH-002</t>
  </si>
  <si>
    <t>Amanita porphyria</t>
  </si>
  <si>
    <t>Soil-3</t>
  </si>
  <si>
    <t>78*</t>
  </si>
  <si>
    <t>CH-003</t>
  </si>
  <si>
    <t>Imleria badia</t>
  </si>
  <si>
    <t>Soil-325</t>
  </si>
  <si>
    <t>29*</t>
  </si>
  <si>
    <t>CH-004</t>
  </si>
  <si>
    <t>Cantharellus cibarius</t>
  </si>
  <si>
    <t>CH-005</t>
  </si>
  <si>
    <t>Cortinarius stillatitius</t>
  </si>
  <si>
    <t>Soil-1</t>
  </si>
  <si>
    <t>CH-006</t>
  </si>
  <si>
    <t>Hebeloma mesophaeum</t>
  </si>
  <si>
    <t>Hydnellum floriforme</t>
  </si>
  <si>
    <t>Soil-4</t>
  </si>
  <si>
    <t>CH-008</t>
  </si>
  <si>
    <t>Laccaria proxima</t>
  </si>
  <si>
    <t>CH-009</t>
  </si>
  <si>
    <t>Lactarius rufus</t>
  </si>
  <si>
    <t>CH-010</t>
  </si>
  <si>
    <t>Paxillus involutus</t>
  </si>
  <si>
    <t>Soil-323</t>
  </si>
  <si>
    <t>CH-011</t>
  </si>
  <si>
    <t>Phellodon niger</t>
  </si>
  <si>
    <t>CH-012</t>
  </si>
  <si>
    <t>Russula emetica</t>
  </si>
  <si>
    <t>CH-013</t>
  </si>
  <si>
    <t>Russula ochroleuca</t>
  </si>
  <si>
    <t>CH-014</t>
  </si>
  <si>
    <t>Russula vesca</t>
  </si>
  <si>
    <t>36*</t>
  </si>
  <si>
    <t>CH-015</t>
  </si>
  <si>
    <t>Suillus bovinus</t>
  </si>
  <si>
    <t>Soil-327</t>
  </si>
  <si>
    <t>32*</t>
  </si>
  <si>
    <t>CH-016</t>
  </si>
  <si>
    <t>Thelephora terrestris</t>
  </si>
  <si>
    <t>CH-017</t>
  </si>
  <si>
    <t>Tricholoma saponaceum</t>
  </si>
  <si>
    <t>Soil-322</t>
  </si>
  <si>
    <t>CH-018</t>
  </si>
  <si>
    <t>Tylopilus felleus</t>
  </si>
  <si>
    <t>Soil-5</t>
  </si>
  <si>
    <t>190*</t>
  </si>
  <si>
    <t>CH-019</t>
  </si>
  <si>
    <t>Xerocomus chrysenteron</t>
  </si>
  <si>
    <t>41*</t>
  </si>
  <si>
    <t>CH-020</t>
  </si>
  <si>
    <t>Clitocybe ditopus</t>
  </si>
  <si>
    <t>Soil-2</t>
  </si>
  <si>
    <t>CH-021</t>
  </si>
  <si>
    <t>Rhodocollybia butyracea f. asema</t>
  </si>
  <si>
    <t>CH-022</t>
  </si>
  <si>
    <t>Rhodocollybia prolixa var. distorta</t>
  </si>
  <si>
    <t>CH-023</t>
  </si>
  <si>
    <t>Hypholoma capnoides</t>
  </si>
  <si>
    <t>39*</t>
  </si>
  <si>
    <t>CH-024</t>
  </si>
  <si>
    <t>Tapinella atrotomentosa</t>
  </si>
  <si>
    <t>Soil-328</t>
  </si>
  <si>
    <t>50*</t>
  </si>
  <si>
    <t>CH-025</t>
  </si>
  <si>
    <t>Tricholomopsis rutilans agg.</t>
  </si>
  <si>
    <t>CH-026</t>
  </si>
  <si>
    <t>Cantharellus amethysteus</t>
  </si>
  <si>
    <t>Hydnellum concrescens agg.</t>
  </si>
  <si>
    <t>CH-028</t>
  </si>
  <si>
    <t>60*</t>
  </si>
  <si>
    <t>CH-029</t>
  </si>
  <si>
    <t>CH-030</t>
  </si>
  <si>
    <t>Albatrellus pes-caprae</t>
  </si>
  <si>
    <t>65*</t>
  </si>
  <si>
    <t>CH-032</t>
  </si>
  <si>
    <t>Tricholomopsis rutilans aff.</t>
  </si>
  <si>
    <t>CH-034</t>
  </si>
  <si>
    <t>Tolypocladium ophioglossoides</t>
  </si>
  <si>
    <t>CH-035</t>
  </si>
  <si>
    <t>Mycena metata</t>
  </si>
  <si>
    <t>CH-036</t>
  </si>
  <si>
    <t>Russula paludosa</t>
  </si>
  <si>
    <t>CH-037</t>
  </si>
  <si>
    <t>Elaphomyces asperulus</t>
  </si>
  <si>
    <t>22*</t>
  </si>
  <si>
    <t>CH-038</t>
  </si>
  <si>
    <t>CH-039</t>
  </si>
  <si>
    <t>CH-040</t>
  </si>
  <si>
    <t>85*</t>
  </si>
  <si>
    <t>CH-041</t>
  </si>
  <si>
    <t>Hygrophorus pustulatus</t>
  </si>
  <si>
    <t>CH-042</t>
  </si>
  <si>
    <t>Hypholoma polytrichi</t>
  </si>
  <si>
    <t>125*</t>
  </si>
  <si>
    <t>CH-043</t>
  </si>
  <si>
    <t>Russula rhodopus</t>
  </si>
  <si>
    <t>27*</t>
  </si>
  <si>
    <t>CH-044</t>
  </si>
  <si>
    <t>Strobilurus esculentus</t>
  </si>
  <si>
    <t>CH-045</t>
  </si>
  <si>
    <t>Russula vinosa</t>
  </si>
  <si>
    <t>28*</t>
  </si>
  <si>
    <t>CH-046</t>
  </si>
  <si>
    <t>Marasmius perforans</t>
  </si>
  <si>
    <t>Lyophyllum fumosum aff.</t>
  </si>
  <si>
    <t>25*</t>
  </si>
  <si>
    <t>CH-048</t>
  </si>
  <si>
    <t>Hygrophoropsis aurantiaca</t>
  </si>
  <si>
    <t>CH-049</t>
  </si>
  <si>
    <t>CH-050</t>
  </si>
  <si>
    <t>Amanita rubescens</t>
  </si>
  <si>
    <t>92*</t>
  </si>
  <si>
    <t>CH-051</t>
  </si>
  <si>
    <t>95*</t>
  </si>
  <si>
    <t>CH-052</t>
  </si>
  <si>
    <t>Lactarius lignyotus</t>
  </si>
  <si>
    <t>Cortinarius turmalis</t>
  </si>
  <si>
    <t>CH-054</t>
  </si>
  <si>
    <t>Tricholoma virgatum</t>
  </si>
  <si>
    <t>CH-055</t>
  </si>
  <si>
    <t>CH-056</t>
  </si>
  <si>
    <t>Clavulina corraloides</t>
  </si>
  <si>
    <t>CH-057</t>
  </si>
  <si>
    <t>CH-058</t>
  </si>
  <si>
    <t>CH-059</t>
  </si>
  <si>
    <t>Cystoderma amianthinum</t>
  </si>
  <si>
    <t>CH-060</t>
  </si>
  <si>
    <t>Boletus edulis</t>
  </si>
  <si>
    <t>33*</t>
  </si>
  <si>
    <t>CH-061</t>
  </si>
  <si>
    <t>Craterellus tubaeformis</t>
  </si>
  <si>
    <t>CH-062</t>
  </si>
  <si>
    <t>Armillaria ostoyae</t>
  </si>
  <si>
    <t>CH-063</t>
  </si>
  <si>
    <t>CH-064</t>
  </si>
  <si>
    <t>Russula virescens</t>
  </si>
  <si>
    <t>24*</t>
  </si>
  <si>
    <t>CH-065</t>
  </si>
  <si>
    <t>16*</t>
  </si>
  <si>
    <t>CH-066</t>
  </si>
  <si>
    <t>Xerocomus ferrugineus</t>
  </si>
  <si>
    <t>30*</t>
  </si>
  <si>
    <t>CH-067</t>
  </si>
  <si>
    <t>Lactarius vellereus</t>
  </si>
  <si>
    <t>CH-068</t>
  </si>
  <si>
    <t>CH-069</t>
  </si>
  <si>
    <t>CH-070</t>
  </si>
  <si>
    <t>Cortinarius caperatus</t>
  </si>
  <si>
    <t>CH-071</t>
  </si>
  <si>
    <t>CH-072</t>
  </si>
  <si>
    <t>CH-073a</t>
  </si>
  <si>
    <t>Russula nigricans</t>
  </si>
  <si>
    <t>38*</t>
  </si>
  <si>
    <t>CH-073b</t>
  </si>
  <si>
    <t>CH-074</t>
  </si>
  <si>
    <t>CH-075</t>
  </si>
  <si>
    <t>CH-076</t>
  </si>
  <si>
    <t>CH-077</t>
  </si>
  <si>
    <t>CH-078</t>
  </si>
  <si>
    <t>Amanita submembranacea</t>
  </si>
  <si>
    <t>CH-079</t>
  </si>
  <si>
    <t>Cortinarius flexipes</t>
  </si>
  <si>
    <t>CH-080</t>
  </si>
  <si>
    <t>Mycenitis scorodonius</t>
  </si>
  <si>
    <t>CH-081</t>
  </si>
  <si>
    <t>Hydnum rufescens</t>
  </si>
  <si>
    <t>54*</t>
  </si>
  <si>
    <t>CH-082</t>
  </si>
  <si>
    <t>Gomphidius glutinosus</t>
  </si>
  <si>
    <t>CH-083</t>
  </si>
  <si>
    <t>Coltricia perennis</t>
  </si>
  <si>
    <t>CH-084</t>
  </si>
  <si>
    <t>CH-085</t>
  </si>
  <si>
    <t>CH-086</t>
  </si>
  <si>
    <t>Lactarius tabidus</t>
  </si>
  <si>
    <t>CH-087</t>
  </si>
  <si>
    <t>Pholiota astragalina</t>
  </si>
  <si>
    <t>CH-088</t>
  </si>
  <si>
    <t>Entoloma sp. (aff. cuneatum)</t>
  </si>
  <si>
    <t>CH-090</t>
  </si>
  <si>
    <t>CH-091</t>
  </si>
  <si>
    <t>CH-092</t>
  </si>
  <si>
    <t>Neoboletus erythropus</t>
  </si>
  <si>
    <t>21*</t>
  </si>
  <si>
    <t>CH-093</t>
  </si>
  <si>
    <t>Russula sardonia</t>
  </si>
  <si>
    <t>CH-094</t>
  </si>
  <si>
    <t>CH-095a</t>
  </si>
  <si>
    <t>Amanita excelsa</t>
  </si>
  <si>
    <t>CH-095b</t>
  </si>
  <si>
    <t>87*</t>
  </si>
  <si>
    <t>CH-096</t>
  </si>
  <si>
    <t>CH-097a</t>
  </si>
  <si>
    <t>Amanita gemmata</t>
  </si>
  <si>
    <t>CH-097b</t>
  </si>
  <si>
    <t>CH-098a</t>
  </si>
  <si>
    <t>102*</t>
  </si>
  <si>
    <t>CH-098b</t>
  </si>
  <si>
    <t>126*</t>
  </si>
  <si>
    <t>CH-099</t>
  </si>
  <si>
    <t>Cortinarius scaurus</t>
  </si>
  <si>
    <t>CH-100</t>
  </si>
  <si>
    <t>Amanita muscaria</t>
  </si>
  <si>
    <t>CH-101</t>
  </si>
  <si>
    <t>23*</t>
  </si>
  <si>
    <t>CH-102</t>
  </si>
  <si>
    <t>Hypholoma fasciculare</t>
  </si>
  <si>
    <t>CH-103</t>
  </si>
  <si>
    <t>Laccaria amethystina</t>
  </si>
  <si>
    <t>CH-104</t>
  </si>
  <si>
    <t>CH-105</t>
  </si>
  <si>
    <t>Lycoperdon nigrescens</t>
  </si>
  <si>
    <t>CH-107</t>
  </si>
  <si>
    <t>14*</t>
  </si>
  <si>
    <t>CH-109</t>
  </si>
  <si>
    <t>CH-110</t>
  </si>
  <si>
    <t>Russula badia</t>
  </si>
  <si>
    <t>CH-111</t>
  </si>
  <si>
    <t>Lycoperdon subumbrinum</t>
  </si>
  <si>
    <t>CH-114</t>
  </si>
  <si>
    <t>Mycena galopus</t>
  </si>
  <si>
    <t>CH-115</t>
  </si>
  <si>
    <t>CH-116</t>
  </si>
  <si>
    <t>CH-117</t>
  </si>
  <si>
    <t>CH-118</t>
  </si>
  <si>
    <t>B-460a</t>
  </si>
  <si>
    <t>189*</t>
  </si>
  <si>
    <t>B-460b</t>
  </si>
  <si>
    <t>B-461</t>
  </si>
  <si>
    <t>Russula mustelina</t>
  </si>
  <si>
    <t>40*</t>
  </si>
  <si>
    <t xml:space="preserve">Alnicola amarescens </t>
  </si>
  <si>
    <t>Conc. error</t>
  </si>
  <si>
    <t>average (%)</t>
  </si>
  <si>
    <t>NIST SRM 1567b</t>
  </si>
  <si>
    <t>-</t>
  </si>
  <si>
    <t>565.3±8.6</t>
  </si>
  <si>
    <t>6.71±0.21</t>
  </si>
  <si>
    <t>398±12</t>
  </si>
  <si>
    <t>191.4±3.3</t>
  </si>
  <si>
    <t>1325±20</t>
  </si>
  <si>
    <t>NIST SRM 1566b</t>
  </si>
  <si>
    <t>45.8</t>
  </si>
  <si>
    <t>47.1</t>
  </si>
  <si>
    <t>5140±100</t>
  </si>
  <si>
    <t>3297±53</t>
  </si>
  <si>
    <t>1085±23</t>
  </si>
  <si>
    <t>838±20</t>
  </si>
  <si>
    <t>6520±90</t>
  </si>
  <si>
    <t>Depth</t>
  </si>
  <si>
    <t>Soil horizon</t>
  </si>
  <si>
    <t>CEC</t>
  </si>
  <si>
    <t>C/N</t>
  </si>
  <si>
    <t>&lt;0.002 mm (clay)</t>
  </si>
  <si>
    <t>0.002-0.05 mm (silt)</t>
  </si>
  <si>
    <t>0.05-2.00 mm (sand)</t>
  </si>
  <si>
    <t>cm</t>
  </si>
  <si>
    <t>%</t>
  </si>
  <si>
    <t>0-6</t>
  </si>
  <si>
    <t>Oa</t>
  </si>
  <si>
    <t>3.47</t>
  </si>
  <si>
    <t>2.74</t>
  </si>
  <si>
    <t>132.07</t>
  </si>
  <si>
    <t>1.00</t>
  </si>
  <si>
    <t>0.16</t>
  </si>
  <si>
    <t>9.26</t>
  </si>
  <si>
    <t>4.30</t>
  </si>
  <si>
    <t>29.26</t>
  </si>
  <si>
    <t>1.53</t>
  </si>
  <si>
    <t>19.12</t>
  </si>
  <si>
    <t>16.0</t>
  </si>
  <si>
    <t>66.9</t>
  </si>
  <si>
    <t>17.1</t>
  </si>
  <si>
    <t>6-8</t>
  </si>
  <si>
    <t>Ah</t>
  </si>
  <si>
    <t>3.53</t>
  </si>
  <si>
    <t>2.85</t>
  </si>
  <si>
    <t>37.61</t>
  </si>
  <si>
    <t>0.30</t>
  </si>
  <si>
    <t>0.06</t>
  </si>
  <si>
    <t>1.05</t>
  </si>
  <si>
    <t>1.94</t>
  </si>
  <si>
    <t>7.21</t>
  </si>
  <si>
    <t>0.38</t>
  </si>
  <si>
    <t>18.97</t>
  </si>
  <si>
    <t>10.8</t>
  </si>
  <si>
    <t>38.1</t>
  </si>
  <si>
    <t>51.1</t>
  </si>
  <si>
    <t>8-39</t>
  </si>
  <si>
    <t>Bw</t>
  </si>
  <si>
    <t>4.13</t>
  </si>
  <si>
    <t>3.83</t>
  </si>
  <si>
    <t>0.05</t>
  </si>
  <si>
    <t>1.38</t>
  </si>
  <si>
    <t>0.26</t>
  </si>
  <si>
    <t>0.58</t>
  </si>
  <si>
    <t>0.04</t>
  </si>
  <si>
    <t>14.50</t>
  </si>
  <si>
    <t>10.5</t>
  </si>
  <si>
    <t>30.2</t>
  </si>
  <si>
    <t>59.3</t>
  </si>
  <si>
    <t>39-53</t>
  </si>
  <si>
    <t>BwC</t>
  </si>
  <si>
    <t>4.53</t>
  </si>
  <si>
    <t>4.03</t>
  </si>
  <si>
    <t>5.90</t>
  </si>
  <si>
    <t>0.10</t>
  </si>
  <si>
    <t>1.25</t>
  </si>
  <si>
    <t>0.33</t>
  </si>
  <si>
    <t>0.27</t>
  </si>
  <si>
    <t>0.03</t>
  </si>
  <si>
    <t>9.00</t>
  </si>
  <si>
    <t>5.6</t>
  </si>
  <si>
    <t>27.7</t>
  </si>
  <si>
    <t>66.7</t>
  </si>
  <si>
    <t>53-85</t>
  </si>
  <si>
    <t>C</t>
  </si>
  <si>
    <t>5.02</t>
  </si>
  <si>
    <t>3.89</t>
  </si>
  <si>
    <t>6.82</t>
  </si>
  <si>
    <t>0.12</t>
  </si>
  <si>
    <t>1.51</t>
  </si>
  <si>
    <t>1.13</t>
  </si>
  <si>
    <t>0.25</t>
  </si>
  <si>
    <t>8.33</t>
  </si>
  <si>
    <t>4.0</t>
  </si>
  <si>
    <t>26.2</t>
  </si>
  <si>
    <t>69.8</t>
  </si>
  <si>
    <t>Soil profile</t>
  </si>
  <si>
    <t>Organic and organomineral horizons</t>
  </si>
  <si>
    <t>horizon</t>
  </si>
  <si>
    <t>sample</t>
  </si>
  <si>
    <t>Oa horizons</t>
  </si>
  <si>
    <t>Oi</t>
  </si>
  <si>
    <t>135 ± 9</t>
  </si>
  <si>
    <t>1.9 ± 0.05</t>
  </si>
  <si>
    <t xml:space="preserve">     Oi horizons</t>
  </si>
  <si>
    <t>Soil - 322</t>
  </si>
  <si>
    <t>180 ± 10</t>
  </si>
  <si>
    <t>11.2 ± 0.06</t>
  </si>
  <si>
    <t>156 ± 8</t>
  </si>
  <si>
    <t>7.26 ± 0.11</t>
  </si>
  <si>
    <t>133 ± 11</t>
  </si>
  <si>
    <t>4.6 ± 0.04</t>
  </si>
  <si>
    <t>Soil - 323</t>
  </si>
  <si>
    <t>221 ± 9</t>
  </si>
  <si>
    <t>10.4 ± 0.06</t>
  </si>
  <si>
    <t>137 ± 16</t>
  </si>
  <si>
    <t>6.66 ± 0.2</t>
  </si>
  <si>
    <t>162 ± 15</t>
  </si>
  <si>
    <t>3.8 ± 0.03</t>
  </si>
  <si>
    <t>Soil - 325</t>
  </si>
  <si>
    <t>137 ± 6</t>
  </si>
  <si>
    <t>10.5 ± 0.06</t>
  </si>
  <si>
    <t>˂ 43</t>
  </si>
  <si>
    <t>˂ 1.05</t>
  </si>
  <si>
    <t>119 ± 7</t>
  </si>
  <si>
    <t>3.1 ± 0.03</t>
  </si>
  <si>
    <t>Soil - 326</t>
  </si>
  <si>
    <t>576 ± 10</t>
  </si>
  <si>
    <t>˂ 50</t>
  </si>
  <si>
    <t>˂ 1.03</t>
  </si>
  <si>
    <t>151 ± 6</t>
  </si>
  <si>
    <t>4.9 ± 0.04</t>
  </si>
  <si>
    <t>Soil - 327</t>
  </si>
  <si>
    <t>200 ± 8</t>
  </si>
  <si>
    <t>12.3 ± 0.07</t>
  </si>
  <si>
    <t>˂ 46</t>
  </si>
  <si>
    <t>˂ 1.06</t>
  </si>
  <si>
    <t>163 ± 7</t>
  </si>
  <si>
    <t>5.3 ± 0.04</t>
  </si>
  <si>
    <t>Soil - 328</t>
  </si>
  <si>
    <t>315 ± 10</t>
  </si>
  <si>
    <t>11.8 ± 0.07</t>
  </si>
  <si>
    <t xml:space="preserve">     Oa horizons</t>
  </si>
  <si>
    <t>477 ± 10</t>
  </si>
  <si>
    <t>7.8 ± 0.05</t>
  </si>
  <si>
    <t>350 ± 8</t>
  </si>
  <si>
    <t>9.1 ± 0.06</t>
  </si>
  <si>
    <t>203 ± 9</t>
  </si>
  <si>
    <t>217 ± 10</t>
  </si>
  <si>
    <t>8.1 ± 0.06</t>
  </si>
  <si>
    <t>214 ± 9</t>
  </si>
  <si>
    <t>9.8 ± 0.06</t>
  </si>
  <si>
    <t xml:space="preserve">     Ah horizons</t>
  </si>
  <si>
    <t>962 ± 12</t>
  </si>
  <si>
    <t>6.0 ± 0.06</t>
  </si>
  <si>
    <t>793 ± 21</t>
  </si>
  <si>
    <t>13.2 ± 0.08</t>
  </si>
  <si>
    <t>343 ± 10</t>
  </si>
  <si>
    <t>6.6 ± 0.06</t>
  </si>
  <si>
    <t>268 ± 11</t>
  </si>
  <si>
    <t>6.8 ± 0.07</t>
  </si>
  <si>
    <t>290 ± 12</t>
  </si>
  <si>
    <t>9.0 ± 0.08</t>
  </si>
  <si>
    <t>Cl</t>
  </si>
  <si>
    <t>Br</t>
  </si>
  <si>
    <t>certified values</t>
  </si>
  <si>
    <t>One profile documented at the</t>
  </si>
  <si>
    <t>Five topsoil sample profiles were</t>
  </si>
  <si>
    <t>sampled throughout the locality.</t>
  </si>
  <si>
    <r>
      <t>Cl (mg kg</t>
    </r>
    <r>
      <rPr>
        <b/>
        <vertAlign val="superscript"/>
        <sz val="11"/>
        <rFont val="Calibri"/>
        <family val="2"/>
        <charset val="238"/>
        <scheme val="minor"/>
      </rPr>
      <t>-1</t>
    </r>
    <r>
      <rPr>
        <b/>
        <sz val="11"/>
        <rFont val="Calibri"/>
        <family val="2"/>
        <charset val="238"/>
        <scheme val="minor"/>
      </rPr>
      <t>) soil</t>
    </r>
  </si>
  <si>
    <r>
      <t>Br (mg kg</t>
    </r>
    <r>
      <rPr>
        <b/>
        <vertAlign val="superscript"/>
        <sz val="11"/>
        <rFont val="Calibri"/>
        <family val="2"/>
        <charset val="238"/>
        <scheme val="minor"/>
      </rPr>
      <t>-1</t>
    </r>
    <r>
      <rPr>
        <b/>
        <sz val="11"/>
        <rFont val="Calibri"/>
        <family val="2"/>
        <charset val="238"/>
        <scheme val="minor"/>
      </rPr>
      <t>) soil</t>
    </r>
  </si>
  <si>
    <r>
      <t>Cl (mg kg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</si>
  <si>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Br (mg kg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</si>
  <si>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Na (mg kg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</si>
  <si>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Mg (mg kg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</si>
  <si>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Ca (mg kg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</si>
  <si>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K (mg kg</t>
    </r>
    <r>
      <rPr>
        <b/>
        <vertAlign val="superscript"/>
        <sz val="11"/>
        <color theme="1"/>
        <rFont val="Calibri"/>
        <family val="2"/>
        <charset val="238"/>
        <scheme val="minor"/>
      </rPr>
      <t>-1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</si>
  <si>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Wheat Flour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3</t>
    </r>
  </si>
  <si>
    <r>
      <t>6.45±0.97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</si>
  <si>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Oyster Tissue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3</t>
    </r>
  </si>
  <si>
    <r>
      <t>49.4±6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</si>
  <si>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O</t>
  </si>
  <si>
    <t>Species-specific chlorine and bromine accumulation in temperate mushrooms: on the possible role of fungi in halogen cycling</t>
  </si>
  <si>
    <t>Supplementary Table 1</t>
  </si>
  <si>
    <t>Supplementary Table 3</t>
  </si>
  <si>
    <t>Supplementary Table 4</t>
  </si>
  <si>
    <t>Concentrations are related to dry mass</t>
  </si>
  <si>
    <t xml:space="preserve">Samples in yellow were used for calculation </t>
  </si>
  <si>
    <t>of the fungal concentration factor in</t>
  </si>
  <si>
    <t>sampling site.</t>
  </si>
  <si>
    <t>* detection limit value</t>
  </si>
  <si>
    <t>(1) non-certified value  (2) GeoRem value (3) mean value</t>
  </si>
  <si>
    <t>Soil sample</t>
  </si>
  <si>
    <t>particular mushrooms. See also Fig. 1 and</t>
  </si>
  <si>
    <t>Furthermore, GenBank accession numbers for sequenced mushroom collections and fungarium identifiers are presented.</t>
  </si>
  <si>
    <t>Square brackets indicate collection from the same sampling site, but not the same sampling spot</t>
  </si>
  <si>
    <r>
      <t>Published in</t>
    </r>
    <r>
      <rPr>
        <b/>
        <i/>
        <u/>
        <sz val="12"/>
        <color theme="1"/>
        <rFont val="Calibri"/>
        <family val="2"/>
        <scheme val="minor"/>
      </rPr>
      <t xml:space="preserve"> Biogeochemistry</t>
    </r>
  </si>
  <si>
    <r>
      <t>Iva Synková</t>
    </r>
    <r>
      <rPr>
        <vertAlign val="superscript"/>
        <sz val="12"/>
        <color theme="1"/>
        <rFont val="Calibri"/>
        <family val="2"/>
        <scheme val="minor"/>
      </rPr>
      <t xml:space="preserve"> 1,2</t>
    </r>
    <r>
      <rPr>
        <sz val="12"/>
        <color theme="1"/>
        <rFont val="Calibri"/>
        <family val="2"/>
        <scheme val="minor"/>
      </rPr>
      <t xml:space="preserve">, Anna Žigová 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, Jan Borovička </t>
    </r>
    <r>
      <rPr>
        <vertAlign val="superscript"/>
        <sz val="12"/>
        <color theme="1"/>
        <rFont val="Calibri"/>
        <family val="2"/>
        <scheme val="minor"/>
      </rPr>
      <t>1,3,*</t>
    </r>
  </si>
  <si>
    <r>
      <t>1</t>
    </r>
    <r>
      <rPr>
        <sz val="12"/>
        <color theme="1"/>
        <rFont val="Calibri"/>
        <family val="2"/>
      </rPr>
      <t>Czech Academy of Sciences, Nuclear Physics Institute, Hlavní 292, CZ-250 68 Husinec-Řež, Czech Republic</t>
    </r>
  </si>
  <si>
    <r>
      <t>2</t>
    </r>
    <r>
      <rPr>
        <sz val="12"/>
        <color theme="1"/>
        <rFont val="Calibri"/>
        <family val="2"/>
      </rPr>
      <t>Charles University, Faculty of Science, Institute of Geochemistry, Mineralogy and Mineral Resources, Albertov 6, CZ-128 01 Prague 2, Czech Republic</t>
    </r>
  </si>
  <si>
    <r>
      <t>3</t>
    </r>
    <r>
      <rPr>
        <sz val="12"/>
        <color theme="1"/>
        <rFont val="Calibri"/>
        <family val="2"/>
      </rPr>
      <t>Czech Academy of Sciences, Institute of Geology, Rozvojová 269, CZ-165 00 Prague 6, Czech Republic</t>
    </r>
  </si>
  <si>
    <t>Content:</t>
  </si>
  <si>
    <r>
      <rPr>
        <i/>
        <sz val="12"/>
        <rFont val="Calibri"/>
        <family val="2"/>
        <charset val="238"/>
        <scheme val="minor"/>
      </rPr>
      <t>Tricholomopsis</t>
    </r>
    <r>
      <rPr>
        <sz val="12"/>
        <rFont val="Calibri"/>
        <family val="2"/>
        <charset val="238"/>
        <scheme val="minor"/>
      </rPr>
      <t xml:space="preserve"> sp. (</t>
    </r>
    <r>
      <rPr>
        <i/>
        <sz val="12"/>
        <rFont val="Calibri"/>
        <family val="2"/>
        <charset val="238"/>
        <scheme val="minor"/>
      </rPr>
      <t>rutilans</t>
    </r>
    <r>
      <rPr>
        <sz val="12"/>
        <rFont val="Calibri"/>
        <family val="2"/>
        <charset val="238"/>
        <scheme val="minor"/>
      </rPr>
      <t xml:space="preserve"> aff.)</t>
    </r>
  </si>
  <si>
    <r>
      <rPr>
        <i/>
        <sz val="12"/>
        <rFont val="Calibri"/>
        <family val="2"/>
        <charset val="238"/>
        <scheme val="minor"/>
      </rPr>
      <t>Lyophyllum fumosum</t>
    </r>
    <r>
      <rPr>
        <sz val="12"/>
        <rFont val="Calibri"/>
        <family val="2"/>
        <charset val="238"/>
        <scheme val="minor"/>
      </rPr>
      <t xml:space="preserve"> agg.</t>
    </r>
  </si>
  <si>
    <r>
      <rPr>
        <i/>
        <sz val="12"/>
        <rFont val="Calibri"/>
        <family val="2"/>
        <charset val="238"/>
        <scheme val="minor"/>
      </rPr>
      <t>Cortinarius</t>
    </r>
    <r>
      <rPr>
        <sz val="12"/>
        <rFont val="Calibri"/>
        <family val="2"/>
        <charset val="238"/>
        <scheme val="minor"/>
      </rPr>
      <t xml:space="preserve"> (</t>
    </r>
    <r>
      <rPr>
        <i/>
        <sz val="12"/>
        <rFont val="Calibri"/>
        <family val="2"/>
        <charset val="238"/>
        <scheme val="minor"/>
      </rPr>
      <t>Thaxterogaster</t>
    </r>
    <r>
      <rPr>
        <sz val="12"/>
        <rFont val="Calibri"/>
        <family val="2"/>
        <charset val="238"/>
        <scheme val="minor"/>
      </rPr>
      <t>)</t>
    </r>
    <r>
      <rPr>
        <i/>
        <sz val="12"/>
        <rFont val="Calibri"/>
        <family val="2"/>
        <charset val="238"/>
        <scheme val="minor"/>
      </rPr>
      <t xml:space="preserve"> turmalis</t>
    </r>
  </si>
  <si>
    <r>
      <rPr>
        <i/>
        <sz val="12"/>
        <rFont val="Calibri"/>
        <family val="2"/>
        <charset val="238"/>
        <scheme val="minor"/>
      </rPr>
      <t>Lycoperdon subumbrinum</t>
    </r>
    <r>
      <rPr>
        <sz val="12"/>
        <rFont val="Calibri"/>
        <family val="2"/>
        <charset val="238"/>
        <scheme val="minor"/>
      </rPr>
      <t xml:space="preserve"> (</t>
    </r>
    <r>
      <rPr>
        <i/>
        <sz val="12"/>
        <rFont val="Calibri"/>
        <family val="2"/>
        <charset val="238"/>
        <scheme val="minor"/>
      </rPr>
      <t>Leptocaulis subumbrinus</t>
    </r>
    <r>
      <rPr>
        <sz val="12"/>
        <rFont val="Calibri"/>
        <family val="2"/>
        <charset val="238"/>
        <scheme val="minor"/>
      </rPr>
      <t>)</t>
    </r>
  </si>
  <si>
    <t>Supplementary Table 1.</t>
  </si>
  <si>
    <t>GenBank accesion numbers of ITS rDNA sequences and fungarium specimens of investigated mushroom collections</t>
  </si>
  <si>
    <t>Chemical properties, soil organic matter, and particle size distribution of the soil profile in forest plantation at Chmelná</t>
  </si>
  <si>
    <r>
      <t>pH</t>
    </r>
    <r>
      <rPr>
        <b/>
        <vertAlign val="subscript"/>
        <sz val="11"/>
        <rFont val="Calibri"/>
        <family val="2"/>
        <charset val="238"/>
        <scheme val="minor"/>
      </rPr>
      <t>H2O</t>
    </r>
  </si>
  <si>
    <r>
      <t>pH</t>
    </r>
    <r>
      <rPr>
        <b/>
        <vertAlign val="subscript"/>
        <sz val="11"/>
        <rFont val="Calibri"/>
        <family val="2"/>
        <charset val="238"/>
        <scheme val="minor"/>
      </rPr>
      <t>KCl</t>
    </r>
  </si>
  <si>
    <r>
      <t>K</t>
    </r>
    <r>
      <rPr>
        <b/>
        <vertAlign val="superscript"/>
        <sz val="11"/>
        <rFont val="Calibri"/>
        <family val="2"/>
        <charset val="238"/>
        <scheme val="minor"/>
      </rPr>
      <t>+</t>
    </r>
  </si>
  <si>
    <r>
      <t>Na</t>
    </r>
    <r>
      <rPr>
        <b/>
        <vertAlign val="superscript"/>
        <sz val="11"/>
        <rFont val="Calibri"/>
        <family val="2"/>
        <charset val="238"/>
        <scheme val="minor"/>
      </rPr>
      <t>+</t>
    </r>
  </si>
  <si>
    <r>
      <t>Ca</t>
    </r>
    <r>
      <rPr>
        <b/>
        <vertAlign val="superscript"/>
        <sz val="11"/>
        <rFont val="Calibri"/>
        <family val="2"/>
        <charset val="238"/>
        <scheme val="minor"/>
      </rPr>
      <t>2+</t>
    </r>
  </si>
  <si>
    <r>
      <t>Mg</t>
    </r>
    <r>
      <rPr>
        <b/>
        <vertAlign val="superscript"/>
        <sz val="11"/>
        <rFont val="Calibri"/>
        <family val="2"/>
        <charset val="238"/>
        <scheme val="minor"/>
      </rPr>
      <t>2+</t>
    </r>
  </si>
  <si>
    <r>
      <t>C</t>
    </r>
    <r>
      <rPr>
        <b/>
        <vertAlign val="subscript"/>
        <sz val="11"/>
        <rFont val="Calibri"/>
        <family val="2"/>
        <charset val="238"/>
        <scheme val="minor"/>
      </rPr>
      <t>org</t>
    </r>
  </si>
  <si>
    <r>
      <t>N</t>
    </r>
    <r>
      <rPr>
        <b/>
        <vertAlign val="subscript"/>
        <sz val="11"/>
        <rFont val="Calibri"/>
        <family val="2"/>
        <charset val="238"/>
        <scheme val="minor"/>
      </rPr>
      <t>t</t>
    </r>
  </si>
  <si>
    <r>
      <t>mmol</t>
    </r>
    <r>
      <rPr>
        <b/>
        <vertAlign val="superscript"/>
        <sz val="11"/>
        <color indexed="8"/>
        <rFont val="Calibri"/>
        <family val="2"/>
        <charset val="238"/>
        <scheme val="minor"/>
      </rPr>
      <t>+</t>
    </r>
    <r>
      <rPr>
        <b/>
        <sz val="11"/>
        <color indexed="8"/>
        <rFont val="Calibri"/>
        <family val="2"/>
        <charset val="238"/>
        <scheme val="minor"/>
      </rPr>
      <t>/100 g</t>
    </r>
  </si>
  <si>
    <r>
      <t>CEC: cation exchange capacity, K</t>
    </r>
    <r>
      <rPr>
        <vertAlign val="superscript"/>
        <sz val="12"/>
        <rFont val="Calibri"/>
        <family val="2"/>
        <charset val="238"/>
        <scheme val="minor"/>
      </rPr>
      <t>+</t>
    </r>
    <r>
      <rPr>
        <sz val="12"/>
        <rFont val="Calibri"/>
        <family val="2"/>
        <charset val="238"/>
        <scheme val="minor"/>
      </rPr>
      <t>: exchangeable K, Na</t>
    </r>
    <r>
      <rPr>
        <vertAlign val="superscript"/>
        <sz val="12"/>
        <rFont val="Calibri"/>
        <family val="2"/>
        <charset val="238"/>
        <scheme val="minor"/>
      </rPr>
      <t>+</t>
    </r>
    <r>
      <rPr>
        <sz val="12"/>
        <rFont val="Calibri"/>
        <family val="2"/>
        <charset val="238"/>
        <scheme val="minor"/>
      </rPr>
      <t>: exchangeable Na, Ca</t>
    </r>
    <r>
      <rPr>
        <vertAlign val="superscript"/>
        <sz val="12"/>
        <rFont val="Calibri"/>
        <family val="2"/>
        <charset val="238"/>
        <scheme val="minor"/>
      </rPr>
      <t>2+</t>
    </r>
    <r>
      <rPr>
        <sz val="12"/>
        <rFont val="Calibri"/>
        <family val="2"/>
        <charset val="238"/>
        <scheme val="minor"/>
      </rPr>
      <t>: exchangeable Ca, Mg</t>
    </r>
    <r>
      <rPr>
        <vertAlign val="superscript"/>
        <sz val="12"/>
        <rFont val="Calibri"/>
        <family val="2"/>
        <charset val="238"/>
        <scheme val="minor"/>
      </rPr>
      <t>2+</t>
    </r>
    <r>
      <rPr>
        <sz val="12"/>
        <rFont val="Calibri"/>
        <family val="2"/>
        <charset val="238"/>
        <scheme val="minor"/>
      </rPr>
      <t>: exchangeable Mg, C</t>
    </r>
    <r>
      <rPr>
        <vertAlign val="subscript"/>
        <sz val="12"/>
        <rFont val="Calibri"/>
        <family val="2"/>
        <charset val="238"/>
        <scheme val="minor"/>
      </rPr>
      <t>org</t>
    </r>
    <r>
      <rPr>
        <sz val="12"/>
        <rFont val="Calibri"/>
        <family val="2"/>
        <charset val="238"/>
        <scheme val="minor"/>
      </rPr>
      <t>: organic carbon, N</t>
    </r>
    <r>
      <rPr>
        <vertAlign val="subscript"/>
        <sz val="12"/>
        <rFont val="Calibri"/>
        <family val="2"/>
        <charset val="238"/>
        <scheme val="minor"/>
      </rPr>
      <t>t</t>
    </r>
    <r>
      <rPr>
        <sz val="12"/>
        <rFont val="Calibri"/>
        <family val="2"/>
        <charset val="238"/>
        <scheme val="minor"/>
      </rPr>
      <t>: total nitrogen</t>
    </r>
  </si>
  <si>
    <r>
      <t>Additional soil samples for calculating F</t>
    </r>
    <r>
      <rPr>
        <b/>
        <vertAlign val="subscript"/>
        <sz val="11"/>
        <color theme="1"/>
        <rFont val="Calibri"/>
        <family val="2"/>
        <scheme val="minor"/>
      </rPr>
      <t>c</t>
    </r>
  </si>
  <si>
    <r>
      <t>(mg kg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</si>
  <si>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Chlorine and bromine content in soils at the investigated sites. Concentrations are related to dry mass.</t>
  </si>
  <si>
    <t>Analytical data for calculation of the concentration factor Fc, based on the assigned Oa horizon</t>
  </si>
  <si>
    <t>Analytical data for multivariate data analysis (PCA) of macroelements (K, Ca, Mg, Na, Cl) and Br in mushrooms in forest plantation at Chmelná</t>
  </si>
  <si>
    <t>Results for standard reference material are presented on the bottom of the table</t>
  </si>
  <si>
    <t>Supplementary Table 2.</t>
  </si>
  <si>
    <t>Supplementary Information</t>
  </si>
  <si>
    <t>This Supplementary information includes complete analytical data on soils and mushrooms and data used for calculation of fungal concentration factors.</t>
  </si>
  <si>
    <t>This information was not presented in the article, but serves to supplement the metods and conclusions presented in the study.</t>
  </si>
  <si>
    <r>
      <t>*</t>
    </r>
    <r>
      <rPr>
        <sz val="12"/>
        <color theme="1"/>
        <rFont val="Calibri"/>
        <family val="2"/>
      </rPr>
      <t>Corresponding author</t>
    </r>
    <r>
      <rPr>
        <i/>
        <sz val="12"/>
        <color theme="1"/>
        <rFont val="Calibri"/>
        <family val="2"/>
      </rPr>
      <t xml:space="preserve">. </t>
    </r>
    <r>
      <rPr>
        <sz val="12"/>
        <color theme="1"/>
        <rFont val="Calibri"/>
        <family val="2"/>
      </rPr>
      <t>E-mail address: borovicka@ujf.cas.cz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</si>
</sst>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vertAlign val="superscript"/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vertAlign val="subscript"/>
      <sz val="11"/>
      <name val="Calibri"/>
      <family val="2"/>
      <charset val="238"/>
      <scheme val="minor"/>
    </font>
    <font>
      <b/>
      <vertAlign val="superscript"/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vertAlign val="subscript"/>
      <sz val="12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13" fillId="0" borderId="0"/>
    <xf numFmtId="0" fontId="4" fillId="0" borderId="0"/>
    <xf numFmtId="0" fontId="8" fillId="0" borderId="0"/>
  </cellStyleXfs>
  <cellXfs count="165">
    <xf numFmtId="0" fontId="0" fillId="0" borderId="0" xfId="0"/>
    <xf numFmtId="0" fontId="6" fillId="0" borderId="0" xfId="0" applyFont="1"/>
    <xf numFmtId="0" fontId="7" fillId="0" borderId="0" xfId="0" applyFont="1" applyAlignment="1">
      <alignment horizontal="left"/>
    </xf>
    <xf numFmtId="0" fontId="10" fillId="0" borderId="0" xfId="0" applyFont="1"/>
    <xf numFmtId="0" fontId="6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1" fillId="0" borderId="1" xfId="0" applyFont="1" applyBorder="1"/>
    <xf numFmtId="0" fontId="9" fillId="0" borderId="0" xfId="0" applyFont="1"/>
    <xf numFmtId="0" fontId="1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4" fillId="0" borderId="0" xfId="0" applyFont="1"/>
    <xf numFmtId="0" fontId="4" fillId="0" borderId="0" xfId="0" applyFont="1"/>
    <xf numFmtId="0" fontId="4" fillId="0" borderId="0" xfId="3"/>
    <xf numFmtId="1" fontId="4" fillId="0" borderId="0" xfId="3" applyNumberFormat="1" applyAlignment="1">
      <alignment horizontal="center"/>
    </xf>
    <xf numFmtId="2" fontId="4" fillId="0" borderId="0" xfId="3" applyNumberFormat="1" applyAlignment="1">
      <alignment horizontal="center"/>
    </xf>
    <xf numFmtId="0" fontId="17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49" fontId="14" fillId="0" borderId="0" xfId="0" applyNumberFormat="1" applyFont="1" applyAlignment="1">
      <alignment horizontal="left" vertical="top"/>
    </xf>
    <xf numFmtId="49" fontId="8" fillId="0" borderId="0" xfId="2" applyNumberFormat="1" applyFont="1" applyAlignment="1">
      <alignment horizontal="left" vertical="top"/>
    </xf>
    <xf numFmtId="49" fontId="8" fillId="0" borderId="0" xfId="3" applyNumberFormat="1" applyFont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9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2" borderId="3" xfId="0" applyNumberFormat="1" applyFont="1" applyFill="1" applyBorder="1" applyAlignment="1">
      <alignment horizontal="center"/>
    </xf>
    <xf numFmtId="1" fontId="9" fillId="3" borderId="3" xfId="0" applyNumberFormat="1" applyFont="1" applyFill="1" applyBorder="1" applyAlignment="1">
      <alignment horizontal="center"/>
    </xf>
    <xf numFmtId="49" fontId="15" fillId="3" borderId="3" xfId="0" applyNumberFormat="1" applyFont="1" applyFill="1" applyBorder="1" applyAlignment="1">
      <alignment horizontal="center"/>
    </xf>
    <xf numFmtId="0" fontId="22" fillId="0" borderId="0" xfId="0" applyFont="1"/>
    <xf numFmtId="1" fontId="3" fillId="0" borderId="0" xfId="0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2" fontId="3" fillId="0" borderId="0" xfId="1" applyNumberFormat="1" applyFont="1" applyAlignment="1">
      <alignment horizontal="center"/>
    </xf>
    <xf numFmtId="1" fontId="3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1" fontId="3" fillId="0" borderId="0" xfId="3" applyNumberFormat="1" applyFont="1" applyAlignment="1">
      <alignment horizontal="center"/>
    </xf>
    <xf numFmtId="164" fontId="3" fillId="0" borderId="0" xfId="3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0" fontId="22" fillId="0" borderId="3" xfId="0" applyFont="1" applyBorder="1"/>
    <xf numFmtId="1" fontId="3" fillId="0" borderId="3" xfId="0" applyNumberFormat="1" applyFont="1" applyBorder="1" applyAlignment="1">
      <alignment horizontal="center"/>
    </xf>
    <xf numFmtId="2" fontId="3" fillId="0" borderId="3" xfId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0" xfId="0" applyFont="1" applyAlignment="1">
      <alignment vertical="top"/>
    </xf>
    <xf numFmtId="0" fontId="25" fillId="4" borderId="0" xfId="0" applyFont="1" applyFill="1"/>
    <xf numFmtId="0" fontId="3" fillId="5" borderId="0" xfId="0" applyFont="1" applyFill="1"/>
    <xf numFmtId="0" fontId="3" fillId="5" borderId="0" xfId="0" applyFont="1" applyFill="1" applyAlignment="1">
      <alignment horizontal="center"/>
    </xf>
    <xf numFmtId="0" fontId="11" fillId="5" borderId="0" xfId="0" applyFont="1" applyFill="1"/>
    <xf numFmtId="0" fontId="11" fillId="5" borderId="0" xfId="0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1" fillId="3" borderId="1" xfId="0" applyFont="1" applyFill="1" applyBorder="1"/>
    <xf numFmtId="9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27" fillId="4" borderId="0" xfId="0" applyFont="1" applyFill="1"/>
    <xf numFmtId="0" fontId="29" fillId="4" borderId="0" xfId="0" applyFont="1" applyFill="1"/>
    <xf numFmtId="0" fontId="31" fillId="4" borderId="0" xfId="0" applyFont="1" applyFill="1" applyAlignment="1">
      <alignment horizontal="left" vertical="center"/>
    </xf>
    <xf numFmtId="0" fontId="33" fillId="4" borderId="0" xfId="0" applyFont="1" applyFill="1" applyAlignment="1">
      <alignment horizontal="center" vertical="center"/>
    </xf>
    <xf numFmtId="0" fontId="34" fillId="4" borderId="0" xfId="0" applyFont="1" applyFill="1" applyAlignment="1">
      <alignment vertical="center"/>
    </xf>
    <xf numFmtId="0" fontId="31" fillId="4" borderId="0" xfId="0" applyFont="1" applyFill="1" applyAlignment="1">
      <alignment vertical="center"/>
    </xf>
    <xf numFmtId="0" fontId="27" fillId="4" borderId="6" xfId="0" applyFont="1" applyFill="1" applyBorder="1"/>
    <xf numFmtId="0" fontId="27" fillId="4" borderId="5" xfId="0" applyFont="1" applyFill="1" applyBorder="1"/>
    <xf numFmtId="0" fontId="27" fillId="4" borderId="7" xfId="0" applyFont="1" applyFill="1" applyBorder="1"/>
    <xf numFmtId="0" fontId="27" fillId="4" borderId="8" xfId="0" applyFont="1" applyFill="1" applyBorder="1"/>
    <xf numFmtId="0" fontId="27" fillId="4" borderId="1" xfId="0" applyFont="1" applyFill="1" applyBorder="1"/>
    <xf numFmtId="0" fontId="27" fillId="4" borderId="9" xfId="0" applyFont="1" applyFill="1" applyBorder="1"/>
    <xf numFmtId="0" fontId="28" fillId="4" borderId="0" xfId="0" applyFont="1" applyFill="1"/>
    <xf numFmtId="0" fontId="37" fillId="0" borderId="0" xfId="0" applyFont="1"/>
    <xf numFmtId="0" fontId="37" fillId="0" borderId="1" xfId="0" applyFont="1" applyBorder="1"/>
    <xf numFmtId="0" fontId="24" fillId="0" borderId="2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/>
    <xf numFmtId="0" fontId="37" fillId="0" borderId="0" xfId="0" applyFont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39" fillId="0" borderId="1" xfId="0" applyFont="1" applyBorder="1"/>
    <xf numFmtId="0" fontId="38" fillId="0" borderId="1" xfId="0" applyFont="1" applyBorder="1" applyAlignment="1">
      <alignment horizontal="center"/>
    </xf>
    <xf numFmtId="0" fontId="18" fillId="0" borderId="0" xfId="0" applyFont="1"/>
    <xf numFmtId="0" fontId="3" fillId="0" borderId="3" xfId="0" applyFont="1" applyBorder="1" applyAlignment="1">
      <alignment horizontal="left"/>
    </xf>
    <xf numFmtId="0" fontId="37" fillId="5" borderId="0" xfId="0" applyFont="1" applyFill="1" applyAlignment="1">
      <alignment horizontal="left"/>
    </xf>
    <xf numFmtId="0" fontId="1" fillId="0" borderId="0" xfId="0" applyFont="1"/>
    <xf numFmtId="49" fontId="1" fillId="0" borderId="0" xfId="0" applyNumberFormat="1" applyFont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49" fontId="15" fillId="0" borderId="2" xfId="2" applyNumberFormat="1" applyFont="1" applyBorder="1" applyAlignment="1">
      <alignment horizontal="center" vertical="center"/>
    </xf>
    <xf numFmtId="49" fontId="15" fillId="0" borderId="2" xfId="3" applyNumberFormat="1" applyFont="1" applyBorder="1" applyAlignment="1">
      <alignment horizontal="center" vertical="center"/>
    </xf>
    <xf numFmtId="49" fontId="15" fillId="0" borderId="0" xfId="2" applyNumberFormat="1" applyFont="1" applyAlignment="1">
      <alignment horizontal="center" vertical="top"/>
    </xf>
    <xf numFmtId="49" fontId="5" fillId="0" borderId="0" xfId="2" applyNumberFormat="1" applyFont="1" applyAlignment="1">
      <alignment horizontal="left" vertical="top"/>
    </xf>
    <xf numFmtId="49" fontId="9" fillId="0" borderId="0" xfId="0" applyNumberFormat="1" applyFont="1" applyAlignment="1">
      <alignment horizontal="center" vertical="top"/>
    </xf>
    <xf numFmtId="49" fontId="15" fillId="0" borderId="0" xfId="3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5" fillId="0" borderId="0" xfId="4" applyNumberFormat="1" applyFont="1" applyAlignment="1">
      <alignment horizontal="left" vertical="top"/>
    </xf>
    <xf numFmtId="49" fontId="5" fillId="0" borderId="0" xfId="3" applyNumberFormat="1" applyFont="1" applyAlignment="1">
      <alignment horizontal="left" vertical="top"/>
    </xf>
    <xf numFmtId="49" fontId="38" fillId="0" borderId="0" xfId="4" applyNumberFormat="1" applyFont="1" applyAlignment="1">
      <alignment horizontal="left" vertical="top"/>
    </xf>
    <xf numFmtId="49" fontId="38" fillId="0" borderId="0" xfId="3" applyNumberFormat="1" applyFont="1" applyAlignment="1">
      <alignment horizontal="left" vertical="top"/>
    </xf>
    <xf numFmtId="49" fontId="37" fillId="0" borderId="0" xfId="0" applyNumberFormat="1" applyFont="1" applyAlignment="1">
      <alignment horizontal="left" vertical="top"/>
    </xf>
    <xf numFmtId="0" fontId="37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6" fillId="0" borderId="0" xfId="3" applyFont="1"/>
    <xf numFmtId="0" fontId="26" fillId="0" borderId="0" xfId="0" applyFont="1"/>
    <xf numFmtId="2" fontId="45" fillId="0" borderId="2" xfId="1" applyNumberFormat="1" applyFont="1" applyBorder="1" applyAlignment="1">
      <alignment horizontal="center" vertical="center"/>
    </xf>
    <xf numFmtId="0" fontId="47" fillId="0" borderId="2" xfId="3" applyFont="1" applyBorder="1" applyAlignment="1">
      <alignment horizontal="center" vertical="center"/>
    </xf>
    <xf numFmtId="0" fontId="47" fillId="0" borderId="0" xfId="3" applyFont="1" applyAlignment="1">
      <alignment horizontal="center" vertical="center"/>
    </xf>
    <xf numFmtId="0" fontId="49" fillId="0" borderId="0" xfId="3" applyFont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49" fillId="2" borderId="0" xfId="3" applyFont="1" applyFill="1" applyAlignment="1">
      <alignment horizontal="center" vertical="center"/>
    </xf>
    <xf numFmtId="1" fontId="26" fillId="2" borderId="0" xfId="3" applyNumberFormat="1" applyFont="1" applyFill="1" applyAlignment="1">
      <alignment horizontal="center" vertical="center"/>
    </xf>
    <xf numFmtId="164" fontId="26" fillId="2" borderId="0" xfId="3" applyNumberFormat="1" applyFont="1" applyFill="1" applyAlignment="1">
      <alignment horizontal="center" vertical="center"/>
    </xf>
    <xf numFmtId="0" fontId="26" fillId="0" borderId="0" xfId="1" applyFont="1" applyAlignment="1">
      <alignment horizontal="center" vertical="center"/>
    </xf>
    <xf numFmtId="1" fontId="26" fillId="0" borderId="0" xfId="3" applyNumberFormat="1" applyFont="1" applyAlignment="1">
      <alignment horizontal="center" vertical="center"/>
    </xf>
    <xf numFmtId="2" fontId="26" fillId="0" borderId="0" xfId="1" applyNumberFormat="1" applyFont="1" applyAlignment="1">
      <alignment horizontal="center" vertical="center"/>
    </xf>
    <xf numFmtId="0" fontId="47" fillId="0" borderId="1" xfId="3" applyFont="1" applyBorder="1" applyAlignment="1">
      <alignment horizontal="center" vertical="center"/>
    </xf>
    <xf numFmtId="0" fontId="49" fillId="0" borderId="1" xfId="3" applyFont="1" applyBorder="1" applyAlignment="1">
      <alignment horizontal="center" vertical="center"/>
    </xf>
    <xf numFmtId="0" fontId="26" fillId="0" borderId="3" xfId="1" applyFont="1" applyBorder="1" applyAlignment="1">
      <alignment horizontal="center" vertical="center"/>
    </xf>
    <xf numFmtId="1" fontId="26" fillId="0" borderId="3" xfId="3" applyNumberFormat="1" applyFont="1" applyBorder="1" applyAlignment="1">
      <alignment horizontal="center" vertical="center"/>
    </xf>
    <xf numFmtId="2" fontId="26" fillId="0" borderId="3" xfId="1" applyNumberFormat="1" applyFont="1" applyBorder="1" applyAlignment="1">
      <alignment horizontal="center" vertical="center"/>
    </xf>
    <xf numFmtId="0" fontId="49" fillId="2" borderId="1" xfId="3" applyFont="1" applyFill="1" applyBorder="1" applyAlignment="1">
      <alignment horizontal="center" vertical="center"/>
    </xf>
    <xf numFmtId="1" fontId="26" fillId="2" borderId="1" xfId="3" applyNumberFormat="1" applyFont="1" applyFill="1" applyBorder="1" applyAlignment="1">
      <alignment horizontal="center" vertical="center"/>
    </xf>
    <xf numFmtId="164" fontId="26" fillId="2" borderId="1" xfId="3" applyNumberFormat="1" applyFont="1" applyFill="1" applyBorder="1" applyAlignment="1">
      <alignment horizontal="center" vertical="center"/>
    </xf>
    <xf numFmtId="0" fontId="26" fillId="2" borderId="0" xfId="1" applyFont="1" applyFill="1" applyAlignment="1">
      <alignment horizontal="center" vertical="center"/>
    </xf>
    <xf numFmtId="2" fontId="26" fillId="2" borderId="0" xfId="1" applyNumberFormat="1" applyFont="1" applyFill="1" applyAlignment="1">
      <alignment horizontal="center" vertical="center"/>
    </xf>
    <xf numFmtId="0" fontId="26" fillId="2" borderId="0" xfId="0" applyFont="1" applyFill="1"/>
    <xf numFmtId="0" fontId="26" fillId="2" borderId="3" xfId="1" applyFont="1" applyFill="1" applyBorder="1" applyAlignment="1">
      <alignment horizontal="center" vertical="center"/>
    </xf>
    <xf numFmtId="1" fontId="26" fillId="2" borderId="3" xfId="3" applyNumberFormat="1" applyFont="1" applyFill="1" applyBorder="1" applyAlignment="1">
      <alignment horizontal="center" vertical="center"/>
    </xf>
    <xf numFmtId="2" fontId="26" fillId="2" borderId="3" xfId="1" applyNumberFormat="1" applyFont="1" applyFill="1" applyBorder="1" applyAlignment="1">
      <alignment horizontal="center" vertical="center"/>
    </xf>
    <xf numFmtId="0" fontId="26" fillId="0" borderId="1" xfId="1" applyFont="1" applyBorder="1" applyAlignment="1">
      <alignment horizontal="center" vertical="center"/>
    </xf>
    <xf numFmtId="1" fontId="26" fillId="0" borderId="1" xfId="3" applyNumberFormat="1" applyFont="1" applyBorder="1" applyAlignment="1">
      <alignment horizontal="center" vertical="center"/>
    </xf>
    <xf numFmtId="2" fontId="26" fillId="0" borderId="1" xfId="1" applyNumberFormat="1" applyFont="1" applyBorder="1" applyAlignment="1">
      <alignment horizontal="center" vertical="center"/>
    </xf>
    <xf numFmtId="0" fontId="28" fillId="0" borderId="0" xfId="3" applyFont="1"/>
    <xf numFmtId="0" fontId="27" fillId="0" borderId="0" xfId="3" applyFont="1"/>
    <xf numFmtId="0" fontId="45" fillId="0" borderId="0" xfId="3" applyFont="1"/>
    <xf numFmtId="0" fontId="24" fillId="0" borderId="0" xfId="0" applyFont="1" applyAlignment="1">
      <alignment horizontal="left"/>
    </xf>
    <xf numFmtId="0" fontId="0" fillId="2" borderId="0" xfId="0" applyFill="1"/>
    <xf numFmtId="0" fontId="27" fillId="4" borderId="13" xfId="0" applyFont="1" applyFill="1" applyBorder="1"/>
    <xf numFmtId="0" fontId="27" fillId="4" borderId="14" xfId="0" applyFont="1" applyFill="1" applyBorder="1"/>
    <xf numFmtId="0" fontId="37" fillId="2" borderId="0" xfId="0" applyFont="1" applyFill="1"/>
    <xf numFmtId="0" fontId="37" fillId="5" borderId="0" xfId="0" applyFont="1" applyFill="1"/>
    <xf numFmtId="0" fontId="24" fillId="0" borderId="0" xfId="0" applyFont="1"/>
    <xf numFmtId="0" fontId="28" fillId="4" borderId="0" xfId="0" applyFont="1" applyFill="1" applyAlignment="1">
      <alignment horizontal="left"/>
    </xf>
    <xf numFmtId="0" fontId="36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7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4" fillId="0" borderId="0" xfId="0" applyFont="1" applyAlignment="1">
      <alignment horizontal="left"/>
    </xf>
    <xf numFmtId="0" fontId="37" fillId="0" borderId="0" xfId="0" applyFont="1"/>
    <xf numFmtId="0" fontId="37" fillId="3" borderId="0" xfId="0" applyFont="1" applyFill="1" applyAlignment="1">
      <alignment horizontal="left"/>
    </xf>
    <xf numFmtId="0" fontId="45" fillId="0" borderId="5" xfId="3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45" fillId="0" borderId="10" xfId="3" applyFont="1" applyBorder="1" applyAlignment="1">
      <alignment horizontal="center"/>
    </xf>
    <xf numFmtId="0" fontId="45" fillId="0" borderId="11" xfId="3" applyFont="1" applyBorder="1" applyAlignment="1">
      <alignment horizontal="center"/>
    </xf>
    <xf numFmtId="0" fontId="45" fillId="0" borderId="12" xfId="3" applyFont="1" applyBorder="1" applyAlignment="1">
      <alignment horizontal="center"/>
    </xf>
    <xf numFmtId="0" fontId="45" fillId="0" borderId="3" xfId="3" applyFont="1" applyBorder="1" applyAlignment="1">
      <alignment horizontal="left" vertical="center"/>
    </xf>
    <xf numFmtId="0" fontId="45" fillId="0" borderId="4" xfId="3" applyFont="1" applyBorder="1" applyAlignment="1">
      <alignment horizontal="left" vertical="center"/>
    </xf>
    <xf numFmtId="0" fontId="47" fillId="0" borderId="5" xfId="3" applyFont="1" applyBorder="1" applyAlignment="1">
      <alignment horizontal="center" vertical="center"/>
    </xf>
  </cellXfs>
  <cellStyles count="5">
    <cellStyle name="Normální" xfId="0" builtinId="0"/>
    <cellStyle name="Normální 2" xfId="2" xr:uid="{2E763DA7-A10C-4E6F-B1B6-60D777B24573}"/>
    <cellStyle name="Normální 3" xfId="3" xr:uid="{9C3D8E45-9C04-4BBB-8CF5-D8DFC77697CF}"/>
    <cellStyle name="Normální 4" xfId="1" xr:uid="{BCDC2068-A3CE-4F35-8831-B50B0DA9759B}"/>
    <cellStyle name="normální_List1 2" xfId="4" xr:uid="{EF252686-5C5D-41FD-85B4-6E598BBA7A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A129-7FD5-4ECA-9821-C3264535BDED}">
  <dimension ref="B1:V26"/>
  <sheetViews>
    <sheetView tabSelected="1" workbookViewId="0"/>
  </sheetViews>
  <sheetFormatPr defaultRowHeight="19.5" customHeight="1" x14ac:dyDescent="0.35"/>
  <cols>
    <col min="1" max="1" width="4.28515625" style="50" customWidth="1"/>
    <col min="2" max="16384" width="9.140625" style="50"/>
  </cols>
  <sheetData>
    <row r="1" spans="2:22" ht="19.5" customHeight="1" thickBot="1" x14ac:dyDescent="0.4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2:22" ht="19.5" customHeight="1" thickBot="1" x14ac:dyDescent="0.4">
      <c r="B2" s="146" t="s">
        <v>510</v>
      </c>
      <c r="C2" s="147"/>
      <c r="D2" s="147"/>
      <c r="E2" s="148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2:22" ht="17.25" customHeight="1" x14ac:dyDescent="0.35"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</row>
    <row r="4" spans="2:22" ht="19.5" customHeight="1" x14ac:dyDescent="0.35">
      <c r="B4" s="62" t="s">
        <v>480</v>
      </c>
      <c r="C4" s="62"/>
      <c r="D4" s="62"/>
      <c r="E4" s="62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</row>
    <row r="5" spans="2:22" ht="17.25" customHeight="1" x14ac:dyDescent="0.35"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</row>
    <row r="6" spans="2:22" ht="19.5" customHeight="1" x14ac:dyDescent="0.35">
      <c r="B6" s="63" t="s">
        <v>466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</row>
    <row r="7" spans="2:22" ht="17.25" customHeight="1" x14ac:dyDescent="0.35"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</row>
    <row r="8" spans="2:22" ht="19.5" customHeight="1" x14ac:dyDescent="0.35">
      <c r="B8" s="61" t="s">
        <v>481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</row>
    <row r="9" spans="2:22" ht="17.25" customHeight="1" x14ac:dyDescent="0.35">
      <c r="B9" s="64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</row>
    <row r="10" spans="2:22" ht="19.5" customHeight="1" x14ac:dyDescent="0.35">
      <c r="B10" s="65" t="s">
        <v>482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</row>
    <row r="11" spans="2:22" ht="19.5" customHeight="1" x14ac:dyDescent="0.35">
      <c r="B11" s="65" t="s">
        <v>483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</row>
    <row r="12" spans="2:22" ht="19.5" customHeight="1" x14ac:dyDescent="0.35">
      <c r="B12" s="65" t="s">
        <v>484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</row>
    <row r="13" spans="2:22" ht="19.5" customHeight="1" x14ac:dyDescent="0.35">
      <c r="B13" s="66" t="s">
        <v>513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</row>
    <row r="14" spans="2:22" ht="17.25" customHeight="1" thickBot="1" x14ac:dyDescent="0.4"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</row>
    <row r="15" spans="2:22" ht="19.5" customHeight="1" x14ac:dyDescent="0.35">
      <c r="B15" s="67" t="s">
        <v>511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9"/>
      <c r="T15" s="61"/>
      <c r="U15" s="61"/>
      <c r="V15" s="61"/>
    </row>
    <row r="16" spans="2:22" ht="19.5" customHeight="1" x14ac:dyDescent="0.35">
      <c r="B16" s="140" t="s">
        <v>478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141"/>
      <c r="T16" s="61"/>
      <c r="U16" s="61"/>
      <c r="V16" s="61"/>
    </row>
    <row r="17" spans="2:22" ht="19.5" customHeight="1" thickBot="1" x14ac:dyDescent="0.4">
      <c r="B17" s="70" t="s">
        <v>512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2"/>
      <c r="T17" s="61"/>
      <c r="U17" s="61"/>
      <c r="V17" s="61"/>
    </row>
    <row r="18" spans="2:22" ht="19.5" customHeight="1" x14ac:dyDescent="0.35"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</row>
    <row r="19" spans="2:22" ht="19.5" customHeight="1" x14ac:dyDescent="0.35">
      <c r="B19" s="145" t="s">
        <v>485</v>
      </c>
      <c r="C19" s="145"/>
      <c r="D19" s="61" t="s">
        <v>467</v>
      </c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</row>
    <row r="20" spans="2:22" ht="19.5" customHeight="1" x14ac:dyDescent="0.35">
      <c r="B20" s="73"/>
      <c r="C20" s="61"/>
      <c r="D20" s="61" t="s">
        <v>45</v>
      </c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</row>
    <row r="21" spans="2:22" ht="19.5" customHeight="1" x14ac:dyDescent="0.35">
      <c r="B21" s="61"/>
      <c r="C21" s="61"/>
      <c r="D21" s="61" t="s">
        <v>468</v>
      </c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</row>
    <row r="22" spans="2:22" ht="19.5" customHeight="1" x14ac:dyDescent="0.35">
      <c r="B22" s="61"/>
      <c r="C22" s="61"/>
      <c r="D22" s="61" t="s">
        <v>469</v>
      </c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</row>
    <row r="23" spans="2:22" ht="19.5" customHeight="1" x14ac:dyDescent="0.35">
      <c r="B23" s="61"/>
      <c r="C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</row>
    <row r="24" spans="2:22" ht="19.5" customHeight="1" x14ac:dyDescent="0.35">
      <c r="B24" s="61"/>
      <c r="C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</row>
    <row r="25" spans="2:22" ht="19.5" customHeight="1" x14ac:dyDescent="0.35"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</row>
    <row r="26" spans="2:22" ht="19.5" customHeight="1" x14ac:dyDescent="0.35"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</row>
  </sheetData>
  <mergeCells count="2">
    <mergeCell ref="B19:C19"/>
    <mergeCell ref="B2:E2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5"/>
  <sheetViews>
    <sheetView zoomScaleNormal="100" workbookViewId="0"/>
  </sheetViews>
  <sheetFormatPr defaultColWidth="9.140625" defaultRowHeight="18.75" x14ac:dyDescent="0.3"/>
  <cols>
    <col min="1" max="1" width="16.140625" style="19" customWidth="1"/>
    <col min="2" max="2" width="60.28515625" style="19" customWidth="1"/>
    <col min="3" max="3" width="15.140625" style="19" customWidth="1"/>
    <col min="4" max="4" width="17.7109375" style="19" customWidth="1"/>
    <col min="5" max="16384" width="9.140625" style="19"/>
  </cols>
  <sheetData>
    <row r="2" spans="1:5" x14ac:dyDescent="0.3">
      <c r="A2" s="144" t="s">
        <v>490</v>
      </c>
      <c r="B2" s="84"/>
      <c r="C2" s="74"/>
      <c r="D2" s="74"/>
    </row>
    <row r="3" spans="1:5" x14ac:dyDescent="0.3">
      <c r="A3" s="74" t="s">
        <v>491</v>
      </c>
      <c r="B3" s="74"/>
      <c r="C3" s="74"/>
      <c r="D3" s="74"/>
      <c r="E3" s="74"/>
    </row>
    <row r="4" spans="1:5" ht="19.5" thickBot="1" x14ac:dyDescent="0.35">
      <c r="A4" s="75"/>
      <c r="B4" s="75"/>
      <c r="C4" s="75"/>
      <c r="D4" s="75"/>
    </row>
    <row r="5" spans="1:5" x14ac:dyDescent="0.3">
      <c r="A5" s="76" t="s">
        <v>17</v>
      </c>
      <c r="B5" s="76" t="s">
        <v>14</v>
      </c>
      <c r="C5" s="76" t="s">
        <v>15</v>
      </c>
      <c r="D5" s="76" t="s">
        <v>16</v>
      </c>
    </row>
    <row r="6" spans="1:5" x14ac:dyDescent="0.3">
      <c r="A6" s="77" t="s">
        <v>19</v>
      </c>
      <c r="B6" s="78" t="s">
        <v>13</v>
      </c>
      <c r="C6" s="79" t="s">
        <v>4</v>
      </c>
      <c r="D6" s="77" t="s">
        <v>27</v>
      </c>
    </row>
    <row r="7" spans="1:5" x14ac:dyDescent="0.3">
      <c r="A7" s="77" t="s">
        <v>18</v>
      </c>
      <c r="B7" s="78" t="s">
        <v>0</v>
      </c>
      <c r="C7" s="79" t="s">
        <v>5</v>
      </c>
      <c r="D7" s="77" t="s">
        <v>27</v>
      </c>
    </row>
    <row r="8" spans="1:5" x14ac:dyDescent="0.3">
      <c r="A8" s="77" t="s">
        <v>26</v>
      </c>
      <c r="B8" s="80" t="s">
        <v>486</v>
      </c>
      <c r="C8" s="79" t="s">
        <v>6</v>
      </c>
      <c r="D8" s="77" t="s">
        <v>27</v>
      </c>
    </row>
    <row r="9" spans="1:5" x14ac:dyDescent="0.3">
      <c r="A9" s="77" t="s">
        <v>20</v>
      </c>
      <c r="B9" s="80" t="s">
        <v>487</v>
      </c>
      <c r="C9" s="79" t="s">
        <v>7</v>
      </c>
      <c r="D9" s="77" t="s">
        <v>35</v>
      </c>
    </row>
    <row r="10" spans="1:5" x14ac:dyDescent="0.3">
      <c r="A10" s="77" t="s">
        <v>23</v>
      </c>
      <c r="B10" s="80" t="s">
        <v>488</v>
      </c>
      <c r="C10" s="79" t="s">
        <v>8</v>
      </c>
      <c r="D10" s="77" t="s">
        <v>33</v>
      </c>
    </row>
    <row r="11" spans="1:5" x14ac:dyDescent="0.3">
      <c r="A11" s="77" t="s">
        <v>22</v>
      </c>
      <c r="B11" s="78" t="s">
        <v>1</v>
      </c>
      <c r="C11" s="79" t="s">
        <v>9</v>
      </c>
      <c r="D11" s="77" t="s">
        <v>34</v>
      </c>
    </row>
    <row r="12" spans="1:5" x14ac:dyDescent="0.3">
      <c r="A12" s="77" t="s">
        <v>21</v>
      </c>
      <c r="B12" s="78" t="s">
        <v>2</v>
      </c>
      <c r="C12" s="79" t="s">
        <v>10</v>
      </c>
      <c r="D12" s="77" t="s">
        <v>31</v>
      </c>
    </row>
    <row r="13" spans="1:5" x14ac:dyDescent="0.3">
      <c r="A13" s="77" t="s">
        <v>24</v>
      </c>
      <c r="B13" s="80" t="s">
        <v>489</v>
      </c>
      <c r="C13" s="79" t="s">
        <v>11</v>
      </c>
      <c r="D13" s="77" t="s">
        <v>27</v>
      </c>
    </row>
    <row r="14" spans="1:5" x14ac:dyDescent="0.3">
      <c r="A14" s="77" t="s">
        <v>25</v>
      </c>
      <c r="B14" s="78" t="s">
        <v>3</v>
      </c>
      <c r="C14" s="79" t="s">
        <v>12</v>
      </c>
      <c r="D14" s="77" t="s">
        <v>32</v>
      </c>
    </row>
    <row r="15" spans="1:5" x14ac:dyDescent="0.3">
      <c r="A15" s="77" t="s">
        <v>28</v>
      </c>
      <c r="B15" s="78" t="s">
        <v>29</v>
      </c>
      <c r="C15" s="77" t="s">
        <v>27</v>
      </c>
      <c r="D15" s="77" t="s">
        <v>30</v>
      </c>
    </row>
    <row r="16" spans="1:5" x14ac:dyDescent="0.3">
      <c r="A16" s="79" t="s">
        <v>38</v>
      </c>
      <c r="B16" s="78" t="s">
        <v>36</v>
      </c>
      <c r="C16" s="77" t="s">
        <v>27</v>
      </c>
      <c r="D16" s="77" t="s">
        <v>37</v>
      </c>
    </row>
    <row r="17" spans="1:4" x14ac:dyDescent="0.3">
      <c r="A17" s="79" t="s">
        <v>41</v>
      </c>
      <c r="B17" s="78" t="s">
        <v>40</v>
      </c>
      <c r="C17" s="77" t="s">
        <v>27</v>
      </c>
      <c r="D17" s="77" t="s">
        <v>39</v>
      </c>
    </row>
    <row r="18" spans="1:4" ht="19.5" thickBot="1" x14ac:dyDescent="0.35">
      <c r="A18" s="81" t="s">
        <v>43</v>
      </c>
      <c r="B18" s="82" t="s">
        <v>42</v>
      </c>
      <c r="C18" s="83" t="s">
        <v>27</v>
      </c>
      <c r="D18" s="83" t="s">
        <v>44</v>
      </c>
    </row>
    <row r="19" spans="1:4" x14ac:dyDescent="0.3">
      <c r="A19" s="74"/>
      <c r="B19" s="78"/>
      <c r="C19" s="77"/>
      <c r="D19" s="77"/>
    </row>
    <row r="20" spans="1:4" x14ac:dyDescent="0.3">
      <c r="A20" s="74" t="s">
        <v>479</v>
      </c>
      <c r="B20" s="78"/>
      <c r="C20" s="77"/>
      <c r="D20" s="77"/>
    </row>
    <row r="21" spans="1:4" x14ac:dyDescent="0.3">
      <c r="A21" s="74"/>
      <c r="B21" s="78"/>
      <c r="C21" s="77"/>
      <c r="D21" s="77"/>
    </row>
    <row r="22" spans="1:4" x14ac:dyDescent="0.3">
      <c r="A22" s="74"/>
      <c r="B22" s="78"/>
      <c r="C22" s="77"/>
      <c r="D22" s="77"/>
    </row>
    <row r="23" spans="1:4" x14ac:dyDescent="0.3">
      <c r="B23" s="21"/>
      <c r="C23" s="20"/>
      <c r="D23" s="20"/>
    </row>
    <row r="24" spans="1:4" x14ac:dyDescent="0.3">
      <c r="B24" s="21"/>
      <c r="C24" s="20"/>
      <c r="D24" s="20"/>
    </row>
    <row r="25" spans="1:4" x14ac:dyDescent="0.3">
      <c r="B25" s="21"/>
      <c r="C25" s="20"/>
      <c r="D25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8DA5A-33C9-4347-AC90-7FC4005DBD95}">
  <dimension ref="A1:W148"/>
  <sheetViews>
    <sheetView workbookViewId="0"/>
  </sheetViews>
  <sheetFormatPr defaultRowHeight="15" x14ac:dyDescent="0.25"/>
  <cols>
    <col min="1" max="1" width="19.28515625" style="11" customWidth="1"/>
    <col min="2" max="2" width="29.85546875" style="12" customWidth="1"/>
    <col min="3" max="3" width="14.5703125" style="12" customWidth="1"/>
    <col min="4" max="4" width="17.5703125" style="12" customWidth="1"/>
    <col min="5" max="5" width="16" style="12" customWidth="1"/>
    <col min="6" max="6" width="12.28515625" style="11" customWidth="1"/>
    <col min="7" max="7" width="14" customWidth="1"/>
    <col min="8" max="8" width="12.85546875" customWidth="1"/>
    <col min="9" max="9" width="14.7109375" customWidth="1"/>
    <col min="10" max="10" width="12.5703125" customWidth="1"/>
    <col min="11" max="11" width="12.7109375" customWidth="1"/>
    <col min="12" max="12" width="13.28515625" style="5" bestFit="1" customWidth="1"/>
  </cols>
  <sheetData>
    <row r="1" spans="1:23" x14ac:dyDescent="0.25">
      <c r="A1" s="2"/>
      <c r="B1" s="3"/>
      <c r="C1" s="3"/>
      <c r="D1" s="3"/>
      <c r="E1" s="3"/>
      <c r="F1" s="4"/>
      <c r="G1" s="1"/>
    </row>
    <row r="2" spans="1:23" ht="15.75" x14ac:dyDescent="0.25">
      <c r="A2" s="154" t="s">
        <v>45</v>
      </c>
      <c r="B2" s="154"/>
      <c r="F2" s="25"/>
      <c r="G2" s="26"/>
      <c r="H2" s="26"/>
      <c r="I2" s="26"/>
      <c r="J2" s="26"/>
      <c r="K2" s="26"/>
    </row>
    <row r="3" spans="1:23" ht="15.75" x14ac:dyDescent="0.25">
      <c r="A3" s="149" t="s">
        <v>506</v>
      </c>
      <c r="B3" s="149"/>
      <c r="C3" s="149"/>
      <c r="D3" s="149"/>
      <c r="E3" s="149"/>
      <c r="F3" s="149"/>
      <c r="G3" s="149"/>
      <c r="H3" s="142"/>
      <c r="I3" s="87"/>
      <c r="J3" s="87"/>
      <c r="K3" s="26"/>
    </row>
    <row r="4" spans="1:23" ht="15.75" x14ac:dyDescent="0.25">
      <c r="A4" s="156" t="s">
        <v>507</v>
      </c>
      <c r="B4" s="156"/>
      <c r="C4" s="156"/>
      <c r="D4" s="156"/>
      <c r="E4" s="156"/>
      <c r="F4" s="156"/>
      <c r="G4" s="156"/>
      <c r="H4" s="156"/>
      <c r="I4" s="87"/>
      <c r="J4" s="87"/>
      <c r="K4" s="26"/>
      <c r="Q4" s="6"/>
      <c r="R4" s="6"/>
    </row>
    <row r="5" spans="1:23" ht="15.75" x14ac:dyDescent="0.25">
      <c r="A5" s="86" t="s">
        <v>508</v>
      </c>
      <c r="B5" s="86"/>
      <c r="C5" s="86"/>
      <c r="D5" s="86"/>
      <c r="E5" s="86"/>
      <c r="F5" s="86"/>
      <c r="G5" s="86"/>
      <c r="H5" s="143"/>
      <c r="I5" s="87"/>
      <c r="J5" s="87"/>
      <c r="K5" s="26"/>
      <c r="Q5" s="6"/>
      <c r="R5" s="6"/>
    </row>
    <row r="6" spans="1:23" ht="15.75" x14ac:dyDescent="0.25">
      <c r="A6" s="155" t="s">
        <v>470</v>
      </c>
      <c r="B6" s="155"/>
      <c r="C6" s="138"/>
      <c r="D6" s="138"/>
      <c r="E6" s="138"/>
      <c r="F6" s="138"/>
      <c r="G6" s="138"/>
      <c r="H6" s="74"/>
      <c r="I6" s="26"/>
      <c r="J6" s="26"/>
      <c r="K6" s="26"/>
      <c r="Q6" s="6"/>
      <c r="R6" s="6"/>
    </row>
    <row r="7" spans="1:23" ht="15.75" thickBot="1" x14ac:dyDescent="0.3">
      <c r="A7" s="27"/>
      <c r="B7" s="7"/>
      <c r="C7" s="7"/>
      <c r="D7" s="7"/>
      <c r="E7" s="7"/>
      <c r="F7" s="27"/>
      <c r="G7" s="28"/>
      <c r="H7" s="28"/>
      <c r="I7" s="28"/>
      <c r="J7" s="28"/>
      <c r="K7" s="28"/>
      <c r="L7" s="28"/>
    </row>
    <row r="8" spans="1:23" s="8" customFormat="1" ht="17.25" x14ac:dyDescent="0.25">
      <c r="A8" s="29" t="s">
        <v>46</v>
      </c>
      <c r="B8" s="30" t="s">
        <v>47</v>
      </c>
      <c r="C8" s="31" t="s">
        <v>476</v>
      </c>
      <c r="D8" s="31" t="s">
        <v>453</v>
      </c>
      <c r="E8" s="31" t="s">
        <v>454</v>
      </c>
      <c r="F8" s="32" t="s">
        <v>455</v>
      </c>
      <c r="G8" s="32" t="s">
        <v>456</v>
      </c>
      <c r="H8" s="32" t="s">
        <v>460</v>
      </c>
      <c r="I8" s="32" t="s">
        <v>459</v>
      </c>
      <c r="J8" s="32" t="s">
        <v>458</v>
      </c>
      <c r="K8" s="32" t="s">
        <v>457</v>
      </c>
      <c r="L8" s="33" t="s">
        <v>48</v>
      </c>
      <c r="T8" s="9"/>
      <c r="U8"/>
      <c r="V8"/>
      <c r="W8"/>
    </row>
    <row r="9" spans="1:23" x14ac:dyDescent="0.25">
      <c r="A9" s="25" t="s">
        <v>49</v>
      </c>
      <c r="B9" s="34" t="s">
        <v>50</v>
      </c>
      <c r="C9" s="25" t="s">
        <v>51</v>
      </c>
      <c r="D9" s="35">
        <v>576</v>
      </c>
      <c r="E9" s="36">
        <v>10.52</v>
      </c>
      <c r="F9" s="35">
        <v>1809.9</v>
      </c>
      <c r="G9" s="37">
        <v>1.4466000000000001</v>
      </c>
      <c r="H9" s="35">
        <v>37449</v>
      </c>
      <c r="I9" s="38">
        <v>49.284999999999997</v>
      </c>
      <c r="J9" s="35">
        <v>928.13</v>
      </c>
      <c r="K9" s="38">
        <v>32.975999999999999</v>
      </c>
      <c r="L9" s="37">
        <f>I9/J9</f>
        <v>5.3101397433549177E-2</v>
      </c>
      <c r="T9" s="9"/>
    </row>
    <row r="10" spans="1:23" x14ac:dyDescent="0.25">
      <c r="A10" s="25" t="s">
        <v>52</v>
      </c>
      <c r="B10" s="34" t="s">
        <v>53</v>
      </c>
      <c r="C10" s="25" t="s">
        <v>54</v>
      </c>
      <c r="D10" s="35">
        <v>203</v>
      </c>
      <c r="E10" s="39">
        <v>7.8368000000000002</v>
      </c>
      <c r="F10" s="35">
        <v>14736.5</v>
      </c>
      <c r="G10" s="38">
        <v>21.129000000000001</v>
      </c>
      <c r="H10" s="35">
        <v>41214</v>
      </c>
      <c r="I10" s="38" t="s">
        <v>55</v>
      </c>
      <c r="J10" s="35">
        <v>691.64</v>
      </c>
      <c r="K10" s="35">
        <v>231.18</v>
      </c>
      <c r="L10" s="37">
        <f>78/J10</f>
        <v>0.11277543230582385</v>
      </c>
      <c r="T10" s="9"/>
    </row>
    <row r="11" spans="1:23" x14ac:dyDescent="0.25">
      <c r="A11" s="25" t="s">
        <v>56</v>
      </c>
      <c r="B11" s="34" t="s">
        <v>57</v>
      </c>
      <c r="C11" s="25" t="s">
        <v>58</v>
      </c>
      <c r="D11" s="35">
        <v>137</v>
      </c>
      <c r="E11" s="36">
        <v>10.5</v>
      </c>
      <c r="F11" s="35">
        <v>463.41</v>
      </c>
      <c r="G11" s="37">
        <v>0.70121</v>
      </c>
      <c r="H11" s="35">
        <v>39061</v>
      </c>
      <c r="I11" s="35" t="s">
        <v>59</v>
      </c>
      <c r="J11" s="35">
        <v>874.48</v>
      </c>
      <c r="K11" s="35">
        <v>169.65</v>
      </c>
      <c r="L11" s="37">
        <f>29/J11</f>
        <v>3.3162565181593634E-2</v>
      </c>
      <c r="T11" s="9"/>
    </row>
    <row r="12" spans="1:23" x14ac:dyDescent="0.25">
      <c r="A12" s="25" t="s">
        <v>60</v>
      </c>
      <c r="B12" s="34" t="s">
        <v>61</v>
      </c>
      <c r="C12" s="25" t="s">
        <v>51</v>
      </c>
      <c r="D12" s="35">
        <v>576</v>
      </c>
      <c r="E12" s="36">
        <v>10.52</v>
      </c>
      <c r="F12" s="35">
        <v>335.17499999999995</v>
      </c>
      <c r="G12" s="37">
        <v>0.62651000000000001</v>
      </c>
      <c r="H12" s="35">
        <v>49438</v>
      </c>
      <c r="I12" s="35">
        <v>279.83999999999997</v>
      </c>
      <c r="J12" s="35">
        <v>1145.5999999999999</v>
      </c>
      <c r="K12" s="35">
        <v>145.97</v>
      </c>
      <c r="L12" s="37">
        <f t="shared" ref="L12:L21" si="0">I12/J12</f>
        <v>0.24427374301675978</v>
      </c>
      <c r="T12" s="9"/>
    </row>
    <row r="13" spans="1:23" x14ac:dyDescent="0.25">
      <c r="A13" s="25" t="s">
        <v>62</v>
      </c>
      <c r="B13" s="34" t="s">
        <v>63</v>
      </c>
      <c r="C13" s="25" t="s">
        <v>64</v>
      </c>
      <c r="D13" s="35">
        <v>477</v>
      </c>
      <c r="E13" s="39">
        <v>7.8305999999999996</v>
      </c>
      <c r="F13" s="35">
        <v>6532.7999999999993</v>
      </c>
      <c r="G13" s="37">
        <v>3.6802000000000001</v>
      </c>
      <c r="H13" s="35">
        <v>58830</v>
      </c>
      <c r="I13" s="35">
        <v>175.33</v>
      </c>
      <c r="J13" s="35">
        <v>1184.5999999999999</v>
      </c>
      <c r="K13" s="35">
        <v>438.31</v>
      </c>
      <c r="L13" s="37">
        <f t="shared" si="0"/>
        <v>0.14800776633462776</v>
      </c>
      <c r="T13" s="9"/>
    </row>
    <row r="14" spans="1:23" x14ac:dyDescent="0.25">
      <c r="A14" s="25" t="s">
        <v>65</v>
      </c>
      <c r="B14" s="34" t="s">
        <v>66</v>
      </c>
      <c r="C14" s="25" t="s">
        <v>58</v>
      </c>
      <c r="D14" s="35">
        <v>137</v>
      </c>
      <c r="E14" s="36">
        <v>10.5</v>
      </c>
      <c r="F14" s="35">
        <v>505.46000000000004</v>
      </c>
      <c r="G14" s="37">
        <v>0.63021000000000005</v>
      </c>
      <c r="H14" s="35">
        <v>48799</v>
      </c>
      <c r="I14" s="35">
        <v>359.89</v>
      </c>
      <c r="J14" s="35">
        <v>1577.5</v>
      </c>
      <c r="K14" s="35">
        <v>230.45</v>
      </c>
      <c r="L14" s="37">
        <f t="shared" si="0"/>
        <v>0.22813946117274167</v>
      </c>
      <c r="T14" s="9"/>
    </row>
    <row r="15" spans="1:23" x14ac:dyDescent="0.25">
      <c r="A15" s="25" t="s">
        <v>19</v>
      </c>
      <c r="B15" s="34" t="s">
        <v>67</v>
      </c>
      <c r="C15" s="25" t="s">
        <v>68</v>
      </c>
      <c r="D15" s="35">
        <v>217</v>
      </c>
      <c r="E15" s="39">
        <v>8.1303999999999998</v>
      </c>
      <c r="F15" s="35">
        <v>273.8</v>
      </c>
      <c r="G15" s="37">
        <v>0.38552999999999998</v>
      </c>
      <c r="H15" s="35">
        <v>19672</v>
      </c>
      <c r="I15" s="35">
        <v>103.34</v>
      </c>
      <c r="J15" s="35">
        <v>1101.2</v>
      </c>
      <c r="K15" s="38">
        <v>65.024000000000001</v>
      </c>
      <c r="L15" s="37">
        <f t="shared" si="0"/>
        <v>9.3843080276062474E-2</v>
      </c>
      <c r="T15" s="9"/>
    </row>
    <row r="16" spans="1:23" x14ac:dyDescent="0.25">
      <c r="A16" s="25" t="s">
        <v>69</v>
      </c>
      <c r="B16" s="34" t="s">
        <v>70</v>
      </c>
      <c r="C16" s="25" t="s">
        <v>58</v>
      </c>
      <c r="D16" s="35">
        <v>137</v>
      </c>
      <c r="E16" s="36">
        <v>10.5</v>
      </c>
      <c r="F16" s="35">
        <v>3581.7</v>
      </c>
      <c r="G16" s="37">
        <v>3.1233</v>
      </c>
      <c r="H16" s="35">
        <v>46261</v>
      </c>
      <c r="I16" s="35">
        <v>323.88</v>
      </c>
      <c r="J16" s="35">
        <v>1420.7</v>
      </c>
      <c r="K16" s="38">
        <v>76.024000000000001</v>
      </c>
      <c r="L16" s="37">
        <f t="shared" si="0"/>
        <v>0.2279721264165552</v>
      </c>
      <c r="T16" s="9"/>
    </row>
    <row r="17" spans="1:20" x14ac:dyDescent="0.25">
      <c r="A17" s="25" t="s">
        <v>71</v>
      </c>
      <c r="B17" s="34" t="s">
        <v>72</v>
      </c>
      <c r="C17" s="25" t="s">
        <v>58</v>
      </c>
      <c r="D17" s="35">
        <v>137</v>
      </c>
      <c r="E17" s="36">
        <v>10.5</v>
      </c>
      <c r="F17" s="35">
        <v>159.065</v>
      </c>
      <c r="G17" s="37">
        <v>0.25065999999999999</v>
      </c>
      <c r="H17" s="35">
        <v>33114</v>
      </c>
      <c r="I17" s="38">
        <v>89.316000000000003</v>
      </c>
      <c r="J17" s="35">
        <v>772.41</v>
      </c>
      <c r="K17" s="38">
        <v>18.739000000000001</v>
      </c>
      <c r="L17" s="37">
        <f t="shared" si="0"/>
        <v>0.11563288926865267</v>
      </c>
      <c r="T17" s="9"/>
    </row>
    <row r="18" spans="1:20" x14ac:dyDescent="0.25">
      <c r="A18" s="25" t="s">
        <v>73</v>
      </c>
      <c r="B18" s="34" t="s">
        <v>74</v>
      </c>
      <c r="C18" s="25" t="s">
        <v>75</v>
      </c>
      <c r="D18" s="35">
        <v>221</v>
      </c>
      <c r="E18" s="36">
        <v>10.4</v>
      </c>
      <c r="F18" s="35">
        <v>85.575000000000003</v>
      </c>
      <c r="G18" s="37">
        <v>0.29482999999999998</v>
      </c>
      <c r="H18" s="35">
        <v>57796</v>
      </c>
      <c r="I18" s="38">
        <v>76.379000000000005</v>
      </c>
      <c r="J18" s="35">
        <v>1377.5</v>
      </c>
      <c r="K18" s="35">
        <v>149.03</v>
      </c>
      <c r="L18" s="37">
        <f t="shared" si="0"/>
        <v>5.5447549909255898E-2</v>
      </c>
      <c r="T18" s="9"/>
    </row>
    <row r="19" spans="1:20" x14ac:dyDescent="0.25">
      <c r="A19" s="25" t="s">
        <v>76</v>
      </c>
      <c r="B19" s="34" t="s">
        <v>77</v>
      </c>
      <c r="C19" s="25" t="s">
        <v>54</v>
      </c>
      <c r="D19" s="35">
        <v>203</v>
      </c>
      <c r="E19" s="39">
        <v>7.8368000000000002</v>
      </c>
      <c r="F19" s="35">
        <v>175.82999999999998</v>
      </c>
      <c r="G19" s="37">
        <v>0.45161000000000001</v>
      </c>
      <c r="H19" s="35">
        <v>14511</v>
      </c>
      <c r="I19" s="35">
        <v>204.96</v>
      </c>
      <c r="J19" s="35">
        <v>1252.7</v>
      </c>
      <c r="K19" s="35">
        <v>120.89</v>
      </c>
      <c r="L19" s="37">
        <f t="shared" si="0"/>
        <v>0.16361459248024268</v>
      </c>
      <c r="T19" s="9"/>
    </row>
    <row r="20" spans="1:20" x14ac:dyDescent="0.25">
      <c r="A20" s="25" t="s">
        <v>78</v>
      </c>
      <c r="B20" s="34" t="s">
        <v>79</v>
      </c>
      <c r="C20" s="25" t="s">
        <v>54</v>
      </c>
      <c r="D20" s="35">
        <v>203</v>
      </c>
      <c r="E20" s="39">
        <v>7.8368000000000002</v>
      </c>
      <c r="F20" s="35">
        <v>2084.9499999999998</v>
      </c>
      <c r="G20" s="37">
        <v>1.7270000000000001</v>
      </c>
      <c r="H20" s="35">
        <v>40731</v>
      </c>
      <c r="I20" s="35">
        <v>210.77</v>
      </c>
      <c r="J20" s="35">
        <v>1035.5</v>
      </c>
      <c r="K20" s="35">
        <v>306.60000000000002</v>
      </c>
      <c r="L20" s="37">
        <f t="shared" si="0"/>
        <v>0.20354418155480444</v>
      </c>
      <c r="T20" s="9"/>
    </row>
    <row r="21" spans="1:20" x14ac:dyDescent="0.25">
      <c r="A21" s="25" t="s">
        <v>80</v>
      </c>
      <c r="B21" s="34" t="s">
        <v>81</v>
      </c>
      <c r="C21" s="25" t="s">
        <v>51</v>
      </c>
      <c r="D21" s="35">
        <v>576</v>
      </c>
      <c r="E21" s="36">
        <v>10.52</v>
      </c>
      <c r="F21" s="35">
        <v>3503.65</v>
      </c>
      <c r="G21" s="37">
        <v>1.266</v>
      </c>
      <c r="H21" s="35">
        <v>47201</v>
      </c>
      <c r="I21" s="35">
        <v>229.97</v>
      </c>
      <c r="J21" s="35">
        <v>1030.0999999999999</v>
      </c>
      <c r="K21" s="35">
        <v>258.25</v>
      </c>
      <c r="L21" s="37">
        <f t="shared" si="0"/>
        <v>0.22325016988641883</v>
      </c>
      <c r="T21" s="9"/>
    </row>
    <row r="22" spans="1:20" x14ac:dyDescent="0.25">
      <c r="A22" s="25" t="s">
        <v>82</v>
      </c>
      <c r="B22" s="34" t="s">
        <v>83</v>
      </c>
      <c r="C22" s="25" t="s">
        <v>54</v>
      </c>
      <c r="D22" s="35">
        <v>203</v>
      </c>
      <c r="E22" s="39">
        <v>7.8368000000000002</v>
      </c>
      <c r="F22" s="35">
        <v>1603.65</v>
      </c>
      <c r="G22" s="37">
        <v>2.0914999999999999</v>
      </c>
      <c r="H22" s="35">
        <v>42920</v>
      </c>
      <c r="I22" s="35" t="s">
        <v>84</v>
      </c>
      <c r="J22" s="35">
        <v>842.18</v>
      </c>
      <c r="K22" s="38">
        <v>54.030999999999999</v>
      </c>
      <c r="L22" s="37">
        <f>36/J22</f>
        <v>4.274620627419317E-2</v>
      </c>
      <c r="T22" s="9"/>
    </row>
    <row r="23" spans="1:20" x14ac:dyDescent="0.25">
      <c r="A23" s="25" t="s">
        <v>85</v>
      </c>
      <c r="B23" s="34" t="s">
        <v>86</v>
      </c>
      <c r="C23" s="25" t="s">
        <v>87</v>
      </c>
      <c r="D23" s="35">
        <v>200</v>
      </c>
      <c r="E23" s="36">
        <v>12.27</v>
      </c>
      <c r="F23" s="35">
        <v>425.19499999999999</v>
      </c>
      <c r="G23" s="37">
        <v>0.33163999999999999</v>
      </c>
      <c r="H23" s="35">
        <v>23009</v>
      </c>
      <c r="I23" s="35" t="s">
        <v>88</v>
      </c>
      <c r="J23" s="35">
        <v>866.04</v>
      </c>
      <c r="K23" s="35">
        <v>147.36000000000001</v>
      </c>
      <c r="L23" s="37">
        <f>32/J23</f>
        <v>3.6949794466768278E-2</v>
      </c>
      <c r="T23" s="9"/>
    </row>
    <row r="24" spans="1:20" x14ac:dyDescent="0.25">
      <c r="A24" s="25" t="s">
        <v>89</v>
      </c>
      <c r="B24" s="34" t="s">
        <v>90</v>
      </c>
      <c r="C24" s="25" t="s">
        <v>58</v>
      </c>
      <c r="D24" s="35">
        <v>137</v>
      </c>
      <c r="E24" s="36">
        <v>10.5</v>
      </c>
      <c r="F24" s="35">
        <v>1038</v>
      </c>
      <c r="G24" s="37">
        <v>1.3465</v>
      </c>
      <c r="H24" s="35">
        <v>9003.2999999999993</v>
      </c>
      <c r="I24" s="35">
        <v>484.13</v>
      </c>
      <c r="J24" s="35">
        <v>758.19</v>
      </c>
      <c r="K24" s="35">
        <v>125.71</v>
      </c>
      <c r="L24" s="37">
        <f>I24/J24</f>
        <v>0.63853387673274509</v>
      </c>
    </row>
    <row r="25" spans="1:20" x14ac:dyDescent="0.25">
      <c r="A25" s="25" t="s">
        <v>91</v>
      </c>
      <c r="B25" s="34" t="s">
        <v>92</v>
      </c>
      <c r="C25" s="25" t="s">
        <v>93</v>
      </c>
      <c r="D25" s="35">
        <v>180</v>
      </c>
      <c r="E25" s="36">
        <v>11.17</v>
      </c>
      <c r="F25" s="35">
        <v>782.71500000000003</v>
      </c>
      <c r="G25" s="37">
        <v>2.6143999999999998</v>
      </c>
      <c r="H25" s="35">
        <v>22527</v>
      </c>
      <c r="I25" s="38">
        <v>68.234999999999999</v>
      </c>
      <c r="J25" s="35">
        <v>704.6</v>
      </c>
      <c r="K25" s="35">
        <v>222.49</v>
      </c>
      <c r="L25" s="37">
        <f>I25/J25</f>
        <v>9.6842179960261135E-2</v>
      </c>
    </row>
    <row r="26" spans="1:20" x14ac:dyDescent="0.25">
      <c r="A26" s="25" t="s">
        <v>94</v>
      </c>
      <c r="B26" s="34" t="s">
        <v>95</v>
      </c>
      <c r="C26" s="25" t="s">
        <v>96</v>
      </c>
      <c r="D26" s="35">
        <v>214</v>
      </c>
      <c r="E26" s="39">
        <v>9.8007000000000009</v>
      </c>
      <c r="F26" s="35">
        <v>6449.9500000000007</v>
      </c>
      <c r="G26" s="37">
        <v>3.0087000000000002</v>
      </c>
      <c r="H26" s="35">
        <v>38062</v>
      </c>
      <c r="I26" s="38">
        <v>51.767000000000003</v>
      </c>
      <c r="J26" s="35" t="s">
        <v>97</v>
      </c>
      <c r="K26" s="38">
        <v>22.43</v>
      </c>
      <c r="L26" s="37">
        <f>I26/190</f>
        <v>0.27245789473684212</v>
      </c>
    </row>
    <row r="27" spans="1:20" x14ac:dyDescent="0.25">
      <c r="A27" s="25" t="s">
        <v>98</v>
      </c>
      <c r="B27" s="34" t="s">
        <v>99</v>
      </c>
      <c r="C27" s="25" t="s">
        <v>54</v>
      </c>
      <c r="D27" s="35">
        <v>203</v>
      </c>
      <c r="E27" s="39">
        <v>7.8368000000000002</v>
      </c>
      <c r="F27" s="35">
        <v>1739.6999999999998</v>
      </c>
      <c r="G27" s="37">
        <v>0.96281000000000005</v>
      </c>
      <c r="H27" s="35">
        <v>38095</v>
      </c>
      <c r="I27" s="35" t="s">
        <v>100</v>
      </c>
      <c r="J27" s="35">
        <v>939.63</v>
      </c>
      <c r="K27" s="38">
        <v>22.692</v>
      </c>
      <c r="L27" s="37">
        <f>41/J27</f>
        <v>4.3634196439023873E-2</v>
      </c>
    </row>
    <row r="28" spans="1:20" x14ac:dyDescent="0.25">
      <c r="A28" s="25" t="s">
        <v>101</v>
      </c>
      <c r="B28" s="34" t="s">
        <v>102</v>
      </c>
      <c r="C28" s="25" t="s">
        <v>103</v>
      </c>
      <c r="D28" s="35">
        <v>350</v>
      </c>
      <c r="E28" s="39">
        <v>9.1339000000000006</v>
      </c>
      <c r="F28" s="35">
        <v>1024.5999999999999</v>
      </c>
      <c r="G28" s="37">
        <v>1.9017999999999999</v>
      </c>
      <c r="H28" s="35">
        <v>46670</v>
      </c>
      <c r="I28" s="35">
        <v>143.32</v>
      </c>
      <c r="J28" s="35">
        <v>1602.5</v>
      </c>
      <c r="K28" s="40">
        <v>321.66000000000003</v>
      </c>
      <c r="L28" s="37">
        <f>I28/J28</f>
        <v>8.9435257410296412E-2</v>
      </c>
    </row>
    <row r="29" spans="1:20" x14ac:dyDescent="0.25">
      <c r="A29" s="25" t="s">
        <v>104</v>
      </c>
      <c r="B29" s="34" t="s">
        <v>105</v>
      </c>
      <c r="C29" s="25" t="s">
        <v>51</v>
      </c>
      <c r="D29" s="35">
        <v>576</v>
      </c>
      <c r="E29" s="36">
        <v>10.5</v>
      </c>
      <c r="F29" s="35">
        <v>229.01499999999999</v>
      </c>
      <c r="G29" s="37">
        <v>1.29</v>
      </c>
      <c r="H29" s="35">
        <v>32041</v>
      </c>
      <c r="I29" s="35">
        <v>210.15</v>
      </c>
      <c r="J29" s="35">
        <v>1303</v>
      </c>
      <c r="K29" s="38">
        <v>34.99</v>
      </c>
      <c r="L29" s="37">
        <f>I29/J29</f>
        <v>0.16128165771297007</v>
      </c>
    </row>
    <row r="30" spans="1:20" x14ac:dyDescent="0.25">
      <c r="A30" s="25" t="s">
        <v>106</v>
      </c>
      <c r="B30" s="34" t="s">
        <v>107</v>
      </c>
      <c r="C30" s="25" t="s">
        <v>87</v>
      </c>
      <c r="D30" s="35">
        <v>200</v>
      </c>
      <c r="E30" s="36">
        <v>12.27</v>
      </c>
      <c r="F30" s="35">
        <v>364.13499999999999</v>
      </c>
      <c r="G30" s="37">
        <v>2.6617000000000002</v>
      </c>
      <c r="H30" s="35">
        <v>28091</v>
      </c>
      <c r="I30" s="38">
        <v>84.908000000000001</v>
      </c>
      <c r="J30" s="35">
        <v>1343.4</v>
      </c>
      <c r="K30" s="38">
        <v>14.930999999999999</v>
      </c>
      <c r="L30" s="37">
        <f>I30/J30</f>
        <v>6.3203811225249359E-2</v>
      </c>
    </row>
    <row r="31" spans="1:20" x14ac:dyDescent="0.25">
      <c r="A31" s="25" t="s">
        <v>108</v>
      </c>
      <c r="B31" s="34" t="s">
        <v>109</v>
      </c>
      <c r="C31" s="25" t="s">
        <v>93</v>
      </c>
      <c r="D31" s="35">
        <v>180</v>
      </c>
      <c r="E31" s="36">
        <v>11.17</v>
      </c>
      <c r="F31" s="35">
        <v>1216.4000000000001</v>
      </c>
      <c r="G31" s="37">
        <v>4.0907999999999998</v>
      </c>
      <c r="H31" s="35">
        <v>51190</v>
      </c>
      <c r="I31" s="35" t="s">
        <v>110</v>
      </c>
      <c r="J31" s="35">
        <v>1101</v>
      </c>
      <c r="K31" s="38">
        <v>14.632</v>
      </c>
      <c r="L31" s="37">
        <f>39/J31</f>
        <v>3.5422343324250684E-2</v>
      </c>
    </row>
    <row r="32" spans="1:20" x14ac:dyDescent="0.25">
      <c r="A32" s="25" t="s">
        <v>111</v>
      </c>
      <c r="B32" s="34" t="s">
        <v>112</v>
      </c>
      <c r="C32" s="25" t="s">
        <v>113</v>
      </c>
      <c r="D32" s="35">
        <v>315</v>
      </c>
      <c r="E32" s="36">
        <v>11.824999999999999</v>
      </c>
      <c r="F32" s="35">
        <v>153.85</v>
      </c>
      <c r="G32" s="37">
        <v>0.80764000000000002</v>
      </c>
      <c r="H32" s="35">
        <v>26251</v>
      </c>
      <c r="I32" s="35" t="s">
        <v>114</v>
      </c>
      <c r="J32" s="35">
        <v>1205.7</v>
      </c>
      <c r="K32" s="35">
        <v>1015.1</v>
      </c>
      <c r="L32" s="37">
        <f>50/J32</f>
        <v>4.14696856597827E-2</v>
      </c>
    </row>
    <row r="33" spans="1:14" x14ac:dyDescent="0.25">
      <c r="A33" s="25" t="s">
        <v>115</v>
      </c>
      <c r="B33" s="34" t="s">
        <v>116</v>
      </c>
      <c r="C33" s="25" t="s">
        <v>87</v>
      </c>
      <c r="D33" s="35">
        <v>200</v>
      </c>
      <c r="E33" s="36">
        <v>12.27</v>
      </c>
      <c r="F33" s="35">
        <v>6675.1</v>
      </c>
      <c r="G33" s="38">
        <v>21.158999999999999</v>
      </c>
      <c r="H33" s="35">
        <v>42511</v>
      </c>
      <c r="I33" s="35" t="s">
        <v>114</v>
      </c>
      <c r="J33" s="35">
        <v>1391.2</v>
      </c>
      <c r="K33" s="35">
        <v>295.11</v>
      </c>
      <c r="L33" s="37">
        <f>50/J33</f>
        <v>3.5940195514663598E-2</v>
      </c>
    </row>
    <row r="34" spans="1:14" x14ac:dyDescent="0.25">
      <c r="A34" s="25" t="s">
        <v>117</v>
      </c>
      <c r="B34" s="34" t="s">
        <v>118</v>
      </c>
      <c r="C34" s="25" t="s">
        <v>96</v>
      </c>
      <c r="D34" s="35">
        <v>214</v>
      </c>
      <c r="E34" s="39">
        <v>9.8007000000000009</v>
      </c>
      <c r="F34" s="35">
        <v>308</v>
      </c>
      <c r="G34" s="37">
        <v>0.62341999999999997</v>
      </c>
      <c r="H34" s="35">
        <v>51542</v>
      </c>
      <c r="I34" s="35">
        <v>147.33000000000001</v>
      </c>
      <c r="J34" s="35">
        <v>1111.2</v>
      </c>
      <c r="K34" s="38">
        <v>26.503</v>
      </c>
      <c r="L34" s="37">
        <f>I34/J34</f>
        <v>0.13258639308855291</v>
      </c>
    </row>
    <row r="35" spans="1:14" x14ac:dyDescent="0.25">
      <c r="A35" s="25" t="s">
        <v>18</v>
      </c>
      <c r="B35" s="34" t="s">
        <v>119</v>
      </c>
      <c r="C35" s="25" t="s">
        <v>87</v>
      </c>
      <c r="D35" s="35">
        <v>200</v>
      </c>
      <c r="E35" s="36">
        <v>12.27</v>
      </c>
      <c r="F35" s="35">
        <v>1558.2</v>
      </c>
      <c r="G35" s="37">
        <v>1.2801</v>
      </c>
      <c r="H35" s="35">
        <v>12905</v>
      </c>
      <c r="I35" s="35">
        <v>111.15</v>
      </c>
      <c r="J35" s="35">
        <v>1014.2</v>
      </c>
      <c r="K35" s="41">
        <v>42.476999999999997</v>
      </c>
      <c r="L35" s="37">
        <f>I35/J35</f>
        <v>0.10959376848747782</v>
      </c>
    </row>
    <row r="36" spans="1:14" x14ac:dyDescent="0.25">
      <c r="A36" s="25" t="s">
        <v>120</v>
      </c>
      <c r="B36" s="34" t="s">
        <v>74</v>
      </c>
      <c r="C36" s="25" t="s">
        <v>103</v>
      </c>
      <c r="D36" s="35">
        <v>350</v>
      </c>
      <c r="E36" s="39">
        <v>9.1339000000000006</v>
      </c>
      <c r="F36" s="38">
        <v>96.293999999999997</v>
      </c>
      <c r="G36" s="37">
        <v>0.61792999999999998</v>
      </c>
      <c r="H36" s="35">
        <v>64940</v>
      </c>
      <c r="I36" s="35" t="s">
        <v>121</v>
      </c>
      <c r="J36" s="35">
        <v>1571.9</v>
      </c>
      <c r="K36" s="40">
        <v>177.37</v>
      </c>
      <c r="L36" s="37">
        <f>60/J36</f>
        <v>3.8170367071696673E-2</v>
      </c>
    </row>
    <row r="37" spans="1:14" x14ac:dyDescent="0.25">
      <c r="A37" s="25" t="s">
        <v>122</v>
      </c>
      <c r="B37" s="34" t="s">
        <v>50</v>
      </c>
      <c r="C37" s="25" t="s">
        <v>113</v>
      </c>
      <c r="D37" s="35">
        <v>315</v>
      </c>
      <c r="E37" s="36">
        <v>11.824999999999999</v>
      </c>
      <c r="F37" s="35">
        <v>1797.8000000000002</v>
      </c>
      <c r="G37" s="37">
        <v>2.7262</v>
      </c>
      <c r="H37" s="35">
        <v>24452</v>
      </c>
      <c r="I37" s="35" t="s">
        <v>114</v>
      </c>
      <c r="J37" s="35">
        <v>605.08000000000004</v>
      </c>
      <c r="K37" s="41">
        <v>16.585999999999999</v>
      </c>
      <c r="L37" s="37">
        <f>50/J37</f>
        <v>8.2633701328749906E-2</v>
      </c>
    </row>
    <row r="38" spans="1:14" x14ac:dyDescent="0.25">
      <c r="A38" s="25" t="s">
        <v>123</v>
      </c>
      <c r="B38" s="34" t="s">
        <v>124</v>
      </c>
      <c r="C38" s="25" t="s">
        <v>64</v>
      </c>
      <c r="D38" s="35">
        <v>477</v>
      </c>
      <c r="E38" s="39">
        <v>7.8305999999999996</v>
      </c>
      <c r="F38" s="35">
        <v>1178.1999999999998</v>
      </c>
      <c r="G38" s="37">
        <v>6.6162000000000001</v>
      </c>
      <c r="H38" s="35">
        <v>27980</v>
      </c>
      <c r="I38" s="35" t="s">
        <v>125</v>
      </c>
      <c r="J38" s="35">
        <v>889.49</v>
      </c>
      <c r="K38" s="41">
        <v>22.48</v>
      </c>
      <c r="L38" s="37">
        <f>65/J38</f>
        <v>7.3075582637241565E-2</v>
      </c>
    </row>
    <row r="39" spans="1:14" x14ac:dyDescent="0.25">
      <c r="A39" s="25" t="s">
        <v>126</v>
      </c>
      <c r="B39" s="34" t="s">
        <v>81</v>
      </c>
      <c r="C39" s="25" t="s">
        <v>58</v>
      </c>
      <c r="D39" s="35">
        <v>137</v>
      </c>
      <c r="E39" s="36">
        <v>10.5</v>
      </c>
      <c r="F39" s="35">
        <v>1943.25</v>
      </c>
      <c r="G39" s="37">
        <v>0.77441000000000004</v>
      </c>
      <c r="H39" s="35">
        <v>34909</v>
      </c>
      <c r="I39" s="35">
        <v>110.22</v>
      </c>
      <c r="J39" s="35">
        <v>842.51</v>
      </c>
      <c r="K39" s="40">
        <v>331.86</v>
      </c>
      <c r="L39" s="37">
        <f>I39/J39</f>
        <v>0.13082337301634403</v>
      </c>
    </row>
    <row r="40" spans="1:14" x14ac:dyDescent="0.25">
      <c r="A40" s="25" t="s">
        <v>26</v>
      </c>
      <c r="B40" s="34" t="s">
        <v>127</v>
      </c>
      <c r="C40" s="25" t="s">
        <v>75</v>
      </c>
      <c r="D40" s="35">
        <v>221</v>
      </c>
      <c r="E40" s="36">
        <v>10.404999999999999</v>
      </c>
      <c r="F40" s="35">
        <v>1915.9499999999998</v>
      </c>
      <c r="G40" s="37">
        <v>1.2709999999999999</v>
      </c>
      <c r="H40" s="35">
        <v>22781</v>
      </c>
      <c r="I40" s="38">
        <v>37.304000000000002</v>
      </c>
      <c r="J40" s="35">
        <v>1015.4</v>
      </c>
      <c r="K40" s="40">
        <v>868.09</v>
      </c>
      <c r="L40" s="37">
        <f>I40/J40</f>
        <v>3.6738231238920623E-2</v>
      </c>
    </row>
    <row r="41" spans="1:14" x14ac:dyDescent="0.25">
      <c r="A41" s="25" t="s">
        <v>128</v>
      </c>
      <c r="B41" s="34" t="s">
        <v>129</v>
      </c>
      <c r="C41" s="25" t="s">
        <v>64</v>
      </c>
      <c r="D41" s="35">
        <v>477</v>
      </c>
      <c r="E41" s="39">
        <v>7.8305999999999996</v>
      </c>
      <c r="F41" s="35">
        <v>578.92499999999995</v>
      </c>
      <c r="G41" s="37">
        <v>0.55791000000000002</v>
      </c>
      <c r="H41" s="35">
        <v>35158</v>
      </c>
      <c r="I41" s="38">
        <v>43.697000000000003</v>
      </c>
      <c r="J41" s="35">
        <v>1244.8</v>
      </c>
      <c r="K41" s="40">
        <v>145.68</v>
      </c>
      <c r="L41" s="37">
        <f>I41/J41</f>
        <v>3.5103631105398464E-2</v>
      </c>
    </row>
    <row r="42" spans="1:14" x14ac:dyDescent="0.25">
      <c r="A42" s="25" t="s">
        <v>130</v>
      </c>
      <c r="B42" s="34" t="s">
        <v>131</v>
      </c>
      <c r="C42" s="25" t="s">
        <v>113</v>
      </c>
      <c r="D42" s="35">
        <v>315</v>
      </c>
      <c r="E42" s="36">
        <v>11.824999999999999</v>
      </c>
      <c r="F42" s="35">
        <v>8065.4500000000007</v>
      </c>
      <c r="G42" s="37">
        <v>3.5638000000000001</v>
      </c>
      <c r="H42" s="35">
        <v>48962</v>
      </c>
      <c r="I42" s="35">
        <v>990.58</v>
      </c>
      <c r="J42" s="35">
        <v>2132.9</v>
      </c>
      <c r="K42" s="40">
        <v>463.5</v>
      </c>
      <c r="L42" s="37">
        <f>I42/J42</f>
        <v>0.4644287120821417</v>
      </c>
    </row>
    <row r="43" spans="1:14" x14ac:dyDescent="0.25">
      <c r="A43" s="25" t="s">
        <v>132</v>
      </c>
      <c r="B43" s="34" t="s">
        <v>133</v>
      </c>
      <c r="C43" s="25" t="s">
        <v>51</v>
      </c>
      <c r="D43" s="35">
        <v>576</v>
      </c>
      <c r="E43" s="36">
        <v>10.52</v>
      </c>
      <c r="F43" s="35">
        <v>3103.25</v>
      </c>
      <c r="G43" s="37">
        <v>2.6021999999999998</v>
      </c>
      <c r="H43" s="35">
        <v>43092</v>
      </c>
      <c r="I43" s="38">
        <v>73.831000000000003</v>
      </c>
      <c r="J43" s="35">
        <v>1065</v>
      </c>
      <c r="K43" s="41">
        <v>52.368000000000002</v>
      </c>
      <c r="L43" s="37">
        <f>I43/J43</f>
        <v>6.9324882629107978E-2</v>
      </c>
    </row>
    <row r="44" spans="1:14" x14ac:dyDescent="0.25">
      <c r="A44" s="25" t="s">
        <v>134</v>
      </c>
      <c r="B44" s="34" t="s">
        <v>135</v>
      </c>
      <c r="C44" s="25" t="s">
        <v>58</v>
      </c>
      <c r="D44" s="35">
        <v>137</v>
      </c>
      <c r="E44" s="36">
        <v>10.5</v>
      </c>
      <c r="F44" s="35">
        <v>2982.9</v>
      </c>
      <c r="G44" s="37">
        <v>3.2098</v>
      </c>
      <c r="H44" s="35">
        <v>23020</v>
      </c>
      <c r="I44" s="35" t="s">
        <v>136</v>
      </c>
      <c r="J44" s="35">
        <v>1541.5</v>
      </c>
      <c r="K44" s="40">
        <v>487.94</v>
      </c>
      <c r="L44" s="37">
        <f>22/J44</f>
        <v>1.4271813168991242E-2</v>
      </c>
      <c r="N44" s="5"/>
    </row>
    <row r="45" spans="1:14" x14ac:dyDescent="0.25">
      <c r="A45" s="25" t="s">
        <v>137</v>
      </c>
      <c r="B45" s="34" t="s">
        <v>50</v>
      </c>
      <c r="C45" s="25" t="s">
        <v>54</v>
      </c>
      <c r="D45" s="35">
        <v>203</v>
      </c>
      <c r="E45" s="39">
        <v>7.84</v>
      </c>
      <c r="F45" s="35">
        <v>2313.9</v>
      </c>
      <c r="G45" s="37">
        <v>1.246</v>
      </c>
      <c r="H45" s="35">
        <v>27289</v>
      </c>
      <c r="I45" s="38">
        <v>82.927999999999997</v>
      </c>
      <c r="J45" s="35">
        <v>647.55999999999995</v>
      </c>
      <c r="K45" s="41">
        <v>66.075000000000003</v>
      </c>
      <c r="L45" s="37">
        <f>I45/J45</f>
        <v>0.12806226450058683</v>
      </c>
      <c r="N45" s="10"/>
    </row>
    <row r="46" spans="1:14" x14ac:dyDescent="0.25">
      <c r="A46" s="25" t="s">
        <v>138</v>
      </c>
      <c r="B46" s="34" t="s">
        <v>109</v>
      </c>
      <c r="C46" s="25" t="s">
        <v>96</v>
      </c>
      <c r="D46" s="35">
        <v>214</v>
      </c>
      <c r="E46" s="39">
        <v>9.8007000000000009</v>
      </c>
      <c r="F46" s="35">
        <v>1160.8</v>
      </c>
      <c r="G46" s="37">
        <v>0.74609999999999999</v>
      </c>
      <c r="H46" s="35">
        <v>33767</v>
      </c>
      <c r="I46" s="35">
        <v>121.24</v>
      </c>
      <c r="J46" s="35">
        <v>1062</v>
      </c>
      <c r="K46" s="40">
        <v>222.27</v>
      </c>
      <c r="L46" s="37">
        <f>I46/J46</f>
        <v>0.11416195856873823</v>
      </c>
      <c r="N46" s="10"/>
    </row>
    <row r="47" spans="1:14" x14ac:dyDescent="0.25">
      <c r="A47" s="25" t="s">
        <v>139</v>
      </c>
      <c r="B47" s="34" t="s">
        <v>53</v>
      </c>
      <c r="C47" s="25" t="s">
        <v>64</v>
      </c>
      <c r="D47" s="35">
        <v>477</v>
      </c>
      <c r="E47" s="39">
        <v>7.8305999999999996</v>
      </c>
      <c r="F47" s="35">
        <v>15922</v>
      </c>
      <c r="G47" s="38">
        <v>27.312999999999999</v>
      </c>
      <c r="H47" s="35">
        <v>42589</v>
      </c>
      <c r="I47" s="35" t="s">
        <v>140</v>
      </c>
      <c r="J47" s="35">
        <v>915.42</v>
      </c>
      <c r="K47" s="40">
        <v>227.56</v>
      </c>
      <c r="L47" s="37">
        <f>85/J47</f>
        <v>9.2853553560114488E-2</v>
      </c>
    </row>
    <row r="48" spans="1:14" x14ac:dyDescent="0.25">
      <c r="A48" s="25" t="s">
        <v>141</v>
      </c>
      <c r="B48" s="34" t="s">
        <v>142</v>
      </c>
      <c r="C48" s="25" t="s">
        <v>58</v>
      </c>
      <c r="D48" s="35">
        <v>137</v>
      </c>
      <c r="E48" s="36">
        <v>10.5</v>
      </c>
      <c r="F48" s="35">
        <v>1898.5</v>
      </c>
      <c r="G48" s="37">
        <v>1.5714999999999999</v>
      </c>
      <c r="H48" s="35">
        <v>46525</v>
      </c>
      <c r="I48" s="35">
        <v>173.14</v>
      </c>
      <c r="J48" s="35">
        <v>928.9</v>
      </c>
      <c r="K48" s="40">
        <v>578.15</v>
      </c>
      <c r="L48" s="37">
        <f>I48/J48</f>
        <v>0.18639250726665949</v>
      </c>
    </row>
    <row r="49" spans="1:12" x14ac:dyDescent="0.25">
      <c r="A49" s="25" t="s">
        <v>143</v>
      </c>
      <c r="B49" s="34" t="s">
        <v>144</v>
      </c>
      <c r="C49" s="25" t="s">
        <v>58</v>
      </c>
      <c r="D49" s="35">
        <v>137</v>
      </c>
      <c r="E49" s="36">
        <v>10.5</v>
      </c>
      <c r="F49" s="35">
        <v>2318.6999999999998</v>
      </c>
      <c r="G49" s="37">
        <v>3.8847</v>
      </c>
      <c r="H49" s="35">
        <v>37770</v>
      </c>
      <c r="I49" s="35" t="s">
        <v>145</v>
      </c>
      <c r="J49" s="35">
        <v>1089.8</v>
      </c>
      <c r="K49" s="40">
        <v>252.76</v>
      </c>
      <c r="L49" s="37">
        <f>125/J49</f>
        <v>0.11469994494402644</v>
      </c>
    </row>
    <row r="50" spans="1:12" x14ac:dyDescent="0.25">
      <c r="A50" s="25" t="s">
        <v>146</v>
      </c>
      <c r="B50" s="34" t="s">
        <v>147</v>
      </c>
      <c r="C50" s="25" t="s">
        <v>87</v>
      </c>
      <c r="D50" s="35">
        <v>200</v>
      </c>
      <c r="E50" s="36">
        <v>12.27</v>
      </c>
      <c r="F50" s="35">
        <v>1738.45</v>
      </c>
      <c r="G50" s="37">
        <v>0.81284000000000001</v>
      </c>
      <c r="H50" s="35">
        <v>31588</v>
      </c>
      <c r="I50" s="35" t="s">
        <v>148</v>
      </c>
      <c r="J50" s="35">
        <v>802.74</v>
      </c>
      <c r="K50" s="41">
        <v>23.167999999999999</v>
      </c>
      <c r="L50" s="37">
        <f>27/J50</f>
        <v>3.3634800807235216E-2</v>
      </c>
    </row>
    <row r="51" spans="1:12" x14ac:dyDescent="0.25">
      <c r="A51" s="25" t="s">
        <v>149</v>
      </c>
      <c r="B51" s="34" t="s">
        <v>150</v>
      </c>
      <c r="C51" s="25" t="s">
        <v>58</v>
      </c>
      <c r="D51" s="35">
        <v>137</v>
      </c>
      <c r="E51" s="36">
        <v>10.5</v>
      </c>
      <c r="F51" s="35">
        <v>942.26</v>
      </c>
      <c r="G51" s="37">
        <v>1.5788</v>
      </c>
      <c r="H51" s="35">
        <v>52505</v>
      </c>
      <c r="I51" s="35">
        <v>989.38</v>
      </c>
      <c r="J51" s="35">
        <v>1495.4</v>
      </c>
      <c r="K51" s="40">
        <v>554.15</v>
      </c>
      <c r="L51" s="37">
        <f>I51/J51</f>
        <v>0.66161562123846462</v>
      </c>
    </row>
    <row r="52" spans="1:12" x14ac:dyDescent="0.25">
      <c r="A52" s="25" t="s">
        <v>151</v>
      </c>
      <c r="B52" s="34" t="s">
        <v>152</v>
      </c>
      <c r="C52" s="25" t="s">
        <v>75</v>
      </c>
      <c r="D52" s="35">
        <v>221</v>
      </c>
      <c r="E52" s="36">
        <v>10.404999999999999</v>
      </c>
      <c r="F52" s="35">
        <v>2407.1</v>
      </c>
      <c r="G52" s="37">
        <v>2.3197000000000001</v>
      </c>
      <c r="H52" s="35">
        <v>27723</v>
      </c>
      <c r="I52" s="35" t="s">
        <v>153</v>
      </c>
      <c r="J52" s="35">
        <v>641.21</v>
      </c>
      <c r="K52" s="41">
        <v>48.411000000000001</v>
      </c>
      <c r="L52" s="37">
        <f>28/J52</f>
        <v>4.366744124389825E-2</v>
      </c>
    </row>
    <row r="53" spans="1:12" x14ac:dyDescent="0.25">
      <c r="A53" s="25" t="s">
        <v>154</v>
      </c>
      <c r="B53" s="34" t="s">
        <v>155</v>
      </c>
      <c r="C53" s="25" t="s">
        <v>64</v>
      </c>
      <c r="D53" s="35">
        <v>477</v>
      </c>
      <c r="E53" s="39">
        <v>7.8305999999999996</v>
      </c>
      <c r="F53" s="35">
        <v>1818.5</v>
      </c>
      <c r="G53" s="37">
        <v>1.2482</v>
      </c>
      <c r="H53" s="35">
        <v>18068</v>
      </c>
      <c r="I53" s="35">
        <v>406.29</v>
      </c>
      <c r="J53" s="35">
        <v>1032.7</v>
      </c>
      <c r="K53" s="40">
        <v>142.6</v>
      </c>
      <c r="L53" s="37">
        <f>I53/J53</f>
        <v>0.39342500242083855</v>
      </c>
    </row>
    <row r="54" spans="1:12" x14ac:dyDescent="0.25">
      <c r="A54" s="25" t="s">
        <v>20</v>
      </c>
      <c r="B54" s="34" t="s">
        <v>156</v>
      </c>
      <c r="C54" s="25" t="s">
        <v>87</v>
      </c>
      <c r="D54" s="35">
        <v>200</v>
      </c>
      <c r="E54" s="36">
        <v>12.27</v>
      </c>
      <c r="F54" s="35">
        <v>731.06</v>
      </c>
      <c r="G54" s="37">
        <v>3.4167000000000001</v>
      </c>
      <c r="H54" s="35">
        <v>40819</v>
      </c>
      <c r="I54" s="35" t="s">
        <v>157</v>
      </c>
      <c r="J54" s="35">
        <v>1117.5</v>
      </c>
      <c r="K54" s="40">
        <v>310.12</v>
      </c>
      <c r="L54" s="37">
        <f>25/J54</f>
        <v>2.2371364653243849E-2</v>
      </c>
    </row>
    <row r="55" spans="1:12" x14ac:dyDescent="0.25">
      <c r="A55" s="25" t="s">
        <v>158</v>
      </c>
      <c r="B55" s="34" t="s">
        <v>159</v>
      </c>
      <c r="C55" s="25" t="s">
        <v>93</v>
      </c>
      <c r="D55" s="35">
        <v>180</v>
      </c>
      <c r="E55" s="36">
        <v>11.17</v>
      </c>
      <c r="F55" s="35">
        <v>532.65499999999997</v>
      </c>
      <c r="G55" s="37">
        <v>1.2075</v>
      </c>
      <c r="H55" s="35">
        <v>30476</v>
      </c>
      <c r="I55" s="38">
        <v>50.389000000000003</v>
      </c>
      <c r="J55" s="35">
        <v>1164.2</v>
      </c>
      <c r="K55" s="40">
        <v>121.5</v>
      </c>
      <c r="L55" s="37">
        <f>I55/J55</f>
        <v>4.3282082116474836E-2</v>
      </c>
    </row>
    <row r="56" spans="1:12" x14ac:dyDescent="0.25">
      <c r="A56" s="25" t="s">
        <v>160</v>
      </c>
      <c r="B56" s="34" t="s">
        <v>36</v>
      </c>
      <c r="C56" s="25" t="s">
        <v>54</v>
      </c>
      <c r="D56" s="35">
        <v>203</v>
      </c>
      <c r="E56" s="39">
        <v>7.8368000000000002</v>
      </c>
      <c r="F56" s="35">
        <v>1136.5999999999999</v>
      </c>
      <c r="G56" s="37">
        <v>0.72421999999999997</v>
      </c>
      <c r="H56" s="35">
        <v>61445</v>
      </c>
      <c r="I56" s="35">
        <v>1261.4000000000001</v>
      </c>
      <c r="J56" s="35">
        <v>2140.9</v>
      </c>
      <c r="K56" s="40">
        <v>224.92</v>
      </c>
      <c r="L56" s="37">
        <f>I56/J56</f>
        <v>0.58919146153486857</v>
      </c>
    </row>
    <row r="57" spans="1:12" x14ac:dyDescent="0.25">
      <c r="A57" s="25" t="s">
        <v>161</v>
      </c>
      <c r="B57" s="34" t="s">
        <v>162</v>
      </c>
      <c r="C57" s="25" t="s">
        <v>113</v>
      </c>
      <c r="D57" s="35">
        <v>315</v>
      </c>
      <c r="E57" s="36">
        <v>11.824999999999999</v>
      </c>
      <c r="F57" s="35">
        <v>18241.5</v>
      </c>
      <c r="G57" s="38">
        <v>18.387</v>
      </c>
      <c r="H57" s="35">
        <v>52605</v>
      </c>
      <c r="I57" s="35" t="s">
        <v>163</v>
      </c>
      <c r="J57" s="35">
        <v>1064.3</v>
      </c>
      <c r="K57" s="41">
        <v>33.558</v>
      </c>
      <c r="L57" s="37">
        <f>92/J57</f>
        <v>8.6441792727614403E-2</v>
      </c>
    </row>
    <row r="58" spans="1:12" x14ac:dyDescent="0.25">
      <c r="A58" s="25" t="s">
        <v>164</v>
      </c>
      <c r="B58" s="34" t="s">
        <v>53</v>
      </c>
      <c r="C58" s="25" t="s">
        <v>54</v>
      </c>
      <c r="D58" s="35">
        <v>203</v>
      </c>
      <c r="E58" s="39">
        <v>7.8368000000000002</v>
      </c>
      <c r="F58" s="35">
        <v>18065.5</v>
      </c>
      <c r="G58" s="38">
        <v>30.201000000000001</v>
      </c>
      <c r="H58" s="35">
        <v>55271</v>
      </c>
      <c r="I58" s="35" t="s">
        <v>165</v>
      </c>
      <c r="J58" s="35">
        <v>1247.7</v>
      </c>
      <c r="K58" s="40">
        <v>300.67</v>
      </c>
      <c r="L58" s="37">
        <f>95/J58</f>
        <v>7.6140097779915039E-2</v>
      </c>
    </row>
    <row r="59" spans="1:12" x14ac:dyDescent="0.25">
      <c r="A59" s="25" t="s">
        <v>166</v>
      </c>
      <c r="B59" s="34" t="s">
        <v>167</v>
      </c>
      <c r="C59" s="25" t="s">
        <v>113</v>
      </c>
      <c r="D59" s="35">
        <v>315</v>
      </c>
      <c r="E59" s="36">
        <v>11.824999999999999</v>
      </c>
      <c r="F59" s="35">
        <v>678.15000000000009</v>
      </c>
      <c r="G59" s="37">
        <v>0.63380999999999998</v>
      </c>
      <c r="H59" s="35">
        <v>25413</v>
      </c>
      <c r="I59" s="38">
        <v>61.484000000000002</v>
      </c>
      <c r="J59" s="35">
        <v>943.47</v>
      </c>
      <c r="K59" s="40">
        <v>471.53</v>
      </c>
      <c r="L59" s="37">
        <f t="shared" ref="L59:L66" si="1">I59/J59</f>
        <v>6.5167943866789618E-2</v>
      </c>
    </row>
    <row r="60" spans="1:12" x14ac:dyDescent="0.25">
      <c r="A60" s="25" t="s">
        <v>23</v>
      </c>
      <c r="B60" s="34" t="s">
        <v>168</v>
      </c>
      <c r="C60" s="25" t="s">
        <v>87</v>
      </c>
      <c r="D60" s="35">
        <v>200</v>
      </c>
      <c r="E60" s="36">
        <v>12.27</v>
      </c>
      <c r="F60" s="35">
        <v>296.505</v>
      </c>
      <c r="G60" s="37">
        <v>0.69057999999999997</v>
      </c>
      <c r="H60" s="35">
        <v>22011</v>
      </c>
      <c r="I60" s="38">
        <v>40.475999999999999</v>
      </c>
      <c r="J60" s="35">
        <v>1191.9000000000001</v>
      </c>
      <c r="K60" s="40">
        <v>1391.9</v>
      </c>
      <c r="L60" s="37">
        <f t="shared" si="1"/>
        <v>3.3959224767178449E-2</v>
      </c>
    </row>
    <row r="61" spans="1:12" x14ac:dyDescent="0.25">
      <c r="A61" s="25" t="s">
        <v>169</v>
      </c>
      <c r="B61" s="34" t="s">
        <v>170</v>
      </c>
      <c r="C61" s="25" t="s">
        <v>54</v>
      </c>
      <c r="D61" s="35">
        <v>203</v>
      </c>
      <c r="E61" s="39">
        <v>7.8368000000000002</v>
      </c>
      <c r="F61" s="35">
        <v>992.98</v>
      </c>
      <c r="G61" s="37">
        <v>0.81030000000000002</v>
      </c>
      <c r="H61" s="35">
        <v>45711</v>
      </c>
      <c r="I61" s="38">
        <v>86.584000000000003</v>
      </c>
      <c r="J61" s="35">
        <v>1219.4000000000001</v>
      </c>
      <c r="K61" s="41">
        <v>42.783000000000001</v>
      </c>
      <c r="L61" s="37">
        <f t="shared" si="1"/>
        <v>7.100541249794981E-2</v>
      </c>
    </row>
    <row r="62" spans="1:12" x14ac:dyDescent="0.25">
      <c r="A62" s="25" t="s">
        <v>171</v>
      </c>
      <c r="B62" s="34" t="s">
        <v>102</v>
      </c>
      <c r="C62" s="25" t="s">
        <v>64</v>
      </c>
      <c r="D62" s="35">
        <v>477</v>
      </c>
      <c r="E62" s="39">
        <v>7.8305999999999996</v>
      </c>
      <c r="F62" s="35">
        <v>711.63499999999999</v>
      </c>
      <c r="G62" s="37">
        <v>1.5664</v>
      </c>
      <c r="H62" s="35">
        <v>45355</v>
      </c>
      <c r="I62" s="35">
        <v>174.12</v>
      </c>
      <c r="J62" s="35">
        <v>1635.2</v>
      </c>
      <c r="K62" s="40">
        <v>436.88</v>
      </c>
      <c r="L62" s="37">
        <f t="shared" si="1"/>
        <v>0.10648238747553816</v>
      </c>
    </row>
    <row r="63" spans="1:12" x14ac:dyDescent="0.25">
      <c r="A63" s="25" t="s">
        <v>172</v>
      </c>
      <c r="B63" s="34" t="s">
        <v>173</v>
      </c>
      <c r="C63" s="25" t="s">
        <v>93</v>
      </c>
      <c r="D63" s="35">
        <v>180</v>
      </c>
      <c r="E63" s="36">
        <v>11.17</v>
      </c>
      <c r="F63" s="35">
        <v>2170.8000000000002</v>
      </c>
      <c r="G63" s="37">
        <v>0.62960000000000005</v>
      </c>
      <c r="H63" s="35">
        <v>45826</v>
      </c>
      <c r="I63" s="35">
        <v>123.73</v>
      </c>
      <c r="J63" s="35">
        <v>1080.5</v>
      </c>
      <c r="K63" s="40">
        <v>223.48</v>
      </c>
      <c r="L63" s="37">
        <f t="shared" si="1"/>
        <v>0.11451180009254974</v>
      </c>
    </row>
    <row r="64" spans="1:12" x14ac:dyDescent="0.25">
      <c r="A64" s="25" t="s">
        <v>174</v>
      </c>
      <c r="B64" s="34" t="s">
        <v>50</v>
      </c>
      <c r="C64" s="25" t="s">
        <v>54</v>
      </c>
      <c r="D64" s="35">
        <v>203</v>
      </c>
      <c r="E64" s="39">
        <v>7.8368000000000002</v>
      </c>
      <c r="F64" s="35">
        <v>1838.5</v>
      </c>
      <c r="G64" s="37">
        <v>2.0790999999999999</v>
      </c>
      <c r="H64" s="35">
        <v>28802</v>
      </c>
      <c r="I64" s="38">
        <v>81.983999999999995</v>
      </c>
      <c r="J64" s="35">
        <v>715.29</v>
      </c>
      <c r="K64" s="41">
        <v>86.588999999999999</v>
      </c>
      <c r="L64" s="37">
        <f t="shared" si="1"/>
        <v>0.11461644927232312</v>
      </c>
    </row>
    <row r="65" spans="1:12" x14ac:dyDescent="0.25">
      <c r="A65" s="25" t="s">
        <v>175</v>
      </c>
      <c r="B65" s="34" t="s">
        <v>107</v>
      </c>
      <c r="C65" s="25" t="s">
        <v>58</v>
      </c>
      <c r="D65" s="35">
        <v>137</v>
      </c>
      <c r="E65" s="36">
        <v>10.5</v>
      </c>
      <c r="F65" s="35">
        <v>1307.8000000000002</v>
      </c>
      <c r="G65" s="37">
        <v>5.2031000000000001</v>
      </c>
      <c r="H65" s="35">
        <v>34692</v>
      </c>
      <c r="I65" s="35">
        <v>186.09</v>
      </c>
      <c r="J65" s="35">
        <v>1683.2</v>
      </c>
      <c r="K65" s="41">
        <v>75.662000000000006</v>
      </c>
      <c r="L65" s="37">
        <f t="shared" si="1"/>
        <v>0.11055727186311787</v>
      </c>
    </row>
    <row r="66" spans="1:12" x14ac:dyDescent="0.25">
      <c r="A66" s="25" t="s">
        <v>176</v>
      </c>
      <c r="B66" s="34" t="s">
        <v>177</v>
      </c>
      <c r="C66" s="25" t="s">
        <v>58</v>
      </c>
      <c r="D66" s="35">
        <v>137</v>
      </c>
      <c r="E66" s="36">
        <v>10.5</v>
      </c>
      <c r="F66" s="35">
        <v>188.18</v>
      </c>
      <c r="G66" s="37">
        <v>1.2462</v>
      </c>
      <c r="H66" s="35">
        <v>29201</v>
      </c>
      <c r="I66" s="35">
        <v>127.88</v>
      </c>
      <c r="J66" s="35">
        <v>1117.7</v>
      </c>
      <c r="K66" s="40">
        <v>227.53</v>
      </c>
      <c r="L66" s="37">
        <f t="shared" si="1"/>
        <v>0.11441352778026304</v>
      </c>
    </row>
    <row r="67" spans="1:12" x14ac:dyDescent="0.25">
      <c r="A67" s="25" t="s">
        <v>178</v>
      </c>
      <c r="B67" s="34" t="s">
        <v>179</v>
      </c>
      <c r="C67" s="25" t="s">
        <v>113</v>
      </c>
      <c r="D67" s="35">
        <v>315</v>
      </c>
      <c r="E67" s="39">
        <v>11.8</v>
      </c>
      <c r="F67" s="35">
        <v>3936.85</v>
      </c>
      <c r="G67" s="37">
        <v>4.2149999999999999</v>
      </c>
      <c r="H67" s="35">
        <v>23936</v>
      </c>
      <c r="I67" s="35" t="s">
        <v>180</v>
      </c>
      <c r="J67" s="35">
        <v>845.21</v>
      </c>
      <c r="K67" s="40">
        <v>139.01</v>
      </c>
      <c r="L67" s="37">
        <f>33/J67</f>
        <v>3.904355130677583E-2</v>
      </c>
    </row>
    <row r="68" spans="1:12" x14ac:dyDescent="0.25">
      <c r="A68" s="25" t="s">
        <v>181</v>
      </c>
      <c r="B68" s="34" t="s">
        <v>182</v>
      </c>
      <c r="C68" s="25" t="s">
        <v>103</v>
      </c>
      <c r="D68" s="35">
        <v>350</v>
      </c>
      <c r="E68" s="39">
        <v>9.1339000000000006</v>
      </c>
      <c r="F68" s="35">
        <v>1412.8000000000002</v>
      </c>
      <c r="G68" s="37">
        <v>1.1634</v>
      </c>
      <c r="H68" s="35">
        <v>38346</v>
      </c>
      <c r="I68" s="35">
        <v>150.47</v>
      </c>
      <c r="J68" s="35">
        <v>666.26</v>
      </c>
      <c r="K68" s="40">
        <v>226.69</v>
      </c>
      <c r="L68" s="37">
        <f>I68/J68</f>
        <v>0.22584276408609252</v>
      </c>
    </row>
    <row r="69" spans="1:12" x14ac:dyDescent="0.25">
      <c r="A69" s="25" t="s">
        <v>183</v>
      </c>
      <c r="B69" s="34" t="s">
        <v>184</v>
      </c>
      <c r="C69" s="25" t="s">
        <v>96</v>
      </c>
      <c r="D69" s="35">
        <v>214</v>
      </c>
      <c r="E69" s="39">
        <v>9.8007000000000009</v>
      </c>
      <c r="F69" s="38">
        <v>74.989000000000004</v>
      </c>
      <c r="G69" s="37">
        <v>0.37126999999999999</v>
      </c>
      <c r="H69" s="42">
        <v>46476</v>
      </c>
      <c r="I69" s="43">
        <v>37.497</v>
      </c>
      <c r="J69" s="42">
        <v>1233.4000000000001</v>
      </c>
      <c r="K69" s="38">
        <v>12.387</v>
      </c>
      <c r="L69" s="37">
        <f>I69/J69</f>
        <v>3.040132965785633E-2</v>
      </c>
    </row>
    <row r="70" spans="1:12" x14ac:dyDescent="0.25">
      <c r="A70" s="25" t="s">
        <v>185</v>
      </c>
      <c r="B70" s="34" t="s">
        <v>105</v>
      </c>
      <c r="C70" s="25" t="s">
        <v>54</v>
      </c>
      <c r="D70" s="35">
        <v>203</v>
      </c>
      <c r="E70" s="39">
        <v>7.8368000000000002</v>
      </c>
      <c r="F70" s="35">
        <v>234.68</v>
      </c>
      <c r="G70" s="37">
        <v>1.456</v>
      </c>
      <c r="H70" s="42">
        <v>30766</v>
      </c>
      <c r="I70" s="42">
        <v>222.35</v>
      </c>
      <c r="J70" s="42">
        <v>1047.0999999999999</v>
      </c>
      <c r="K70" s="38">
        <v>27.244</v>
      </c>
      <c r="L70" s="37">
        <f>I70/J70</f>
        <v>0.2123483907936205</v>
      </c>
    </row>
    <row r="71" spans="1:12" x14ac:dyDescent="0.25">
      <c r="A71" s="25" t="s">
        <v>186</v>
      </c>
      <c r="B71" s="34" t="s">
        <v>187</v>
      </c>
      <c r="C71" s="25" t="s">
        <v>58</v>
      </c>
      <c r="D71" s="35">
        <v>137</v>
      </c>
      <c r="E71" s="36">
        <v>10.5</v>
      </c>
      <c r="F71" s="35">
        <v>2770.45</v>
      </c>
      <c r="G71" s="37">
        <v>3.2934000000000001</v>
      </c>
      <c r="H71" s="42">
        <v>47993</v>
      </c>
      <c r="I71" s="42" t="s">
        <v>188</v>
      </c>
      <c r="J71" s="42">
        <v>1102.5</v>
      </c>
      <c r="K71" s="38">
        <v>66.799000000000007</v>
      </c>
      <c r="L71" s="37">
        <f>24/J71</f>
        <v>2.1768707482993196E-2</v>
      </c>
    </row>
    <row r="72" spans="1:12" x14ac:dyDescent="0.25">
      <c r="A72" s="25" t="s">
        <v>189</v>
      </c>
      <c r="B72" s="34" t="s">
        <v>57</v>
      </c>
      <c r="C72" s="25" t="s">
        <v>51</v>
      </c>
      <c r="D72" s="35">
        <v>576</v>
      </c>
      <c r="E72" s="36">
        <v>10.52</v>
      </c>
      <c r="F72" s="35">
        <v>740.61500000000001</v>
      </c>
      <c r="G72" s="37">
        <v>1.3096000000000001</v>
      </c>
      <c r="H72" s="42">
        <v>31887</v>
      </c>
      <c r="I72" s="42" t="s">
        <v>190</v>
      </c>
      <c r="J72" s="42">
        <v>729.21</v>
      </c>
      <c r="K72" s="35">
        <v>146.72</v>
      </c>
      <c r="L72" s="37">
        <f>16/J72</f>
        <v>2.1941553187696274E-2</v>
      </c>
    </row>
    <row r="73" spans="1:12" x14ac:dyDescent="0.25">
      <c r="A73" s="25" t="s">
        <v>191</v>
      </c>
      <c r="B73" s="34" t="s">
        <v>192</v>
      </c>
      <c r="C73" s="25" t="s">
        <v>51</v>
      </c>
      <c r="D73" s="35">
        <v>576</v>
      </c>
      <c r="E73" s="36">
        <v>10.52</v>
      </c>
      <c r="F73" s="35">
        <v>5675.75</v>
      </c>
      <c r="G73" s="37">
        <v>5.8648999999999996</v>
      </c>
      <c r="H73" s="42">
        <v>35920</v>
      </c>
      <c r="I73" s="42" t="s">
        <v>193</v>
      </c>
      <c r="J73" s="42">
        <v>825.66</v>
      </c>
      <c r="K73" s="38">
        <v>50.109000000000002</v>
      </c>
      <c r="L73" s="37">
        <f>30/J73</f>
        <v>3.6334568708669426E-2</v>
      </c>
    </row>
    <row r="74" spans="1:12" x14ac:dyDescent="0.25">
      <c r="A74" s="25" t="s">
        <v>194</v>
      </c>
      <c r="B74" s="34" t="s">
        <v>195</v>
      </c>
      <c r="C74" s="25" t="s">
        <v>75</v>
      </c>
      <c r="D74" s="35">
        <v>221</v>
      </c>
      <c r="E74" s="36">
        <v>10.404999999999999</v>
      </c>
      <c r="F74" s="35">
        <v>214.27499999999998</v>
      </c>
      <c r="G74" s="37">
        <v>1.0106999999999999</v>
      </c>
      <c r="H74" s="42">
        <v>29138</v>
      </c>
      <c r="I74" s="42" t="s">
        <v>190</v>
      </c>
      <c r="J74" s="42">
        <v>603.07000000000005</v>
      </c>
      <c r="K74" s="38">
        <v>15.266</v>
      </c>
      <c r="L74" s="37">
        <f>16/J74</f>
        <v>2.6530916808993978E-2</v>
      </c>
    </row>
    <row r="75" spans="1:12" x14ac:dyDescent="0.25">
      <c r="A75" s="25" t="s">
        <v>196</v>
      </c>
      <c r="B75" s="34" t="s">
        <v>90</v>
      </c>
      <c r="C75" s="25" t="s">
        <v>58</v>
      </c>
      <c r="D75" s="35">
        <v>137</v>
      </c>
      <c r="E75" s="36">
        <v>10.5</v>
      </c>
      <c r="F75" s="35">
        <v>617.77</v>
      </c>
      <c r="G75" s="37">
        <v>1.4674</v>
      </c>
      <c r="H75" s="42">
        <v>7234.9</v>
      </c>
      <c r="I75" s="42">
        <v>262.97000000000003</v>
      </c>
      <c r="J75" s="42">
        <v>742.13</v>
      </c>
      <c r="K75" s="35">
        <v>118.03</v>
      </c>
      <c r="L75" s="37">
        <f>I75/J75</f>
        <v>0.35434492609111617</v>
      </c>
    </row>
    <row r="76" spans="1:12" x14ac:dyDescent="0.25">
      <c r="A76" s="25" t="s">
        <v>197</v>
      </c>
      <c r="B76" s="34" t="s">
        <v>74</v>
      </c>
      <c r="C76" s="25" t="s">
        <v>68</v>
      </c>
      <c r="D76" s="35">
        <v>217</v>
      </c>
      <c r="E76" s="39">
        <v>8.1303999999999998</v>
      </c>
      <c r="F76" s="38">
        <v>93.295999999999992</v>
      </c>
      <c r="G76" s="37">
        <v>0.57372999999999996</v>
      </c>
      <c r="H76" s="42">
        <v>49974</v>
      </c>
      <c r="I76" s="43">
        <v>39.851999999999997</v>
      </c>
      <c r="J76" s="42">
        <v>1139.5</v>
      </c>
      <c r="K76" s="35">
        <v>312.73</v>
      </c>
      <c r="L76" s="37">
        <f>I76/J76</f>
        <v>3.4973233874506363E-2</v>
      </c>
    </row>
    <row r="77" spans="1:12" x14ac:dyDescent="0.25">
      <c r="A77" s="25" t="s">
        <v>198</v>
      </c>
      <c r="B77" s="34" t="s">
        <v>199</v>
      </c>
      <c r="C77" s="25" t="s">
        <v>54</v>
      </c>
      <c r="D77" s="35">
        <v>203</v>
      </c>
      <c r="E77" s="39">
        <v>7.8368000000000002</v>
      </c>
      <c r="F77" s="35">
        <v>326.52499999999998</v>
      </c>
      <c r="G77" s="37">
        <v>2.4502000000000002</v>
      </c>
      <c r="H77" s="42">
        <v>39233</v>
      </c>
      <c r="I77" s="43">
        <v>27.013999999999999</v>
      </c>
      <c r="J77" s="42">
        <v>949.61</v>
      </c>
      <c r="K77" s="38">
        <v>33.552999999999997</v>
      </c>
      <c r="L77" s="37">
        <f>I77/J77</f>
        <v>2.8447467907877971E-2</v>
      </c>
    </row>
    <row r="78" spans="1:12" x14ac:dyDescent="0.25">
      <c r="A78" s="25" t="s">
        <v>200</v>
      </c>
      <c r="B78" s="34" t="s">
        <v>70</v>
      </c>
      <c r="C78" s="25" t="s">
        <v>58</v>
      </c>
      <c r="D78" s="35">
        <v>137</v>
      </c>
      <c r="E78" s="36">
        <v>10.5</v>
      </c>
      <c r="F78" s="35">
        <v>4724.2999999999993</v>
      </c>
      <c r="G78" s="37">
        <v>2.6688999999999998</v>
      </c>
      <c r="H78" s="42">
        <v>37681</v>
      </c>
      <c r="I78" s="42">
        <v>537.46</v>
      </c>
      <c r="J78" s="42">
        <v>1299.0999999999999</v>
      </c>
      <c r="K78" s="38">
        <v>95.379000000000005</v>
      </c>
      <c r="L78" s="37">
        <f>I78/J78</f>
        <v>0.41371718882303138</v>
      </c>
    </row>
    <row r="79" spans="1:12" x14ac:dyDescent="0.25">
      <c r="A79" s="25" t="s">
        <v>201</v>
      </c>
      <c r="B79" s="34" t="s">
        <v>83</v>
      </c>
      <c r="C79" s="25" t="s">
        <v>64</v>
      </c>
      <c r="D79" s="35">
        <v>477</v>
      </c>
      <c r="E79" s="39">
        <v>7.8305999999999996</v>
      </c>
      <c r="F79" s="35">
        <v>877.255</v>
      </c>
      <c r="G79" s="37">
        <v>1.0846</v>
      </c>
      <c r="H79" s="42">
        <v>33150</v>
      </c>
      <c r="I79" s="43">
        <v>24.38</v>
      </c>
      <c r="J79" s="42">
        <v>710.3</v>
      </c>
      <c r="K79" s="38">
        <v>23.097000000000001</v>
      </c>
      <c r="L79" s="37">
        <f>I79/J79</f>
        <v>3.4323525271012248E-2</v>
      </c>
    </row>
    <row r="80" spans="1:12" x14ac:dyDescent="0.25">
      <c r="A80" s="25" t="s">
        <v>202</v>
      </c>
      <c r="B80" s="34" t="s">
        <v>203</v>
      </c>
      <c r="C80" s="25" t="s">
        <v>58</v>
      </c>
      <c r="D80" s="35">
        <v>137</v>
      </c>
      <c r="E80" s="36">
        <v>10.5</v>
      </c>
      <c r="F80" s="35">
        <v>7589.45</v>
      </c>
      <c r="G80" s="37">
        <v>3.8454000000000002</v>
      </c>
      <c r="H80" s="42">
        <v>30356</v>
      </c>
      <c r="I80" s="42" t="s">
        <v>204</v>
      </c>
      <c r="J80" s="42">
        <v>689.67</v>
      </c>
      <c r="K80" s="38">
        <v>38.423000000000002</v>
      </c>
      <c r="L80" s="37">
        <f>38/J80</f>
        <v>5.5098815375469429E-2</v>
      </c>
    </row>
    <row r="81" spans="1:12" x14ac:dyDescent="0.25">
      <c r="A81" s="25" t="s">
        <v>205</v>
      </c>
      <c r="B81" s="34" t="s">
        <v>203</v>
      </c>
      <c r="C81" s="25" t="s">
        <v>58</v>
      </c>
      <c r="D81" s="35">
        <v>137</v>
      </c>
      <c r="E81" s="36">
        <v>10.5</v>
      </c>
      <c r="F81" s="35">
        <v>7389.8</v>
      </c>
      <c r="G81" s="37">
        <v>3.8315999999999999</v>
      </c>
      <c r="H81" s="42">
        <v>32215</v>
      </c>
      <c r="I81" s="43">
        <v>92.733999999999995</v>
      </c>
      <c r="J81" s="42">
        <v>644.83000000000004</v>
      </c>
      <c r="K81" s="38">
        <v>39.277000000000001</v>
      </c>
      <c r="L81" s="37">
        <f t="shared" ref="L81:L88" si="2">I81/J81</f>
        <v>0.14381154722950235</v>
      </c>
    </row>
    <row r="82" spans="1:12" x14ac:dyDescent="0.25">
      <c r="A82" s="25" t="s">
        <v>206</v>
      </c>
      <c r="B82" s="34" t="s">
        <v>116</v>
      </c>
      <c r="C82" s="25" t="s">
        <v>58</v>
      </c>
      <c r="D82" s="35">
        <v>137</v>
      </c>
      <c r="E82" s="36">
        <v>10.5</v>
      </c>
      <c r="F82" s="35">
        <v>4869.2999999999993</v>
      </c>
      <c r="G82" s="37">
        <v>4.7705000000000002</v>
      </c>
      <c r="H82" s="42">
        <v>54995</v>
      </c>
      <c r="I82" s="43">
        <v>46.713000000000001</v>
      </c>
      <c r="J82" s="42">
        <v>1313.1</v>
      </c>
      <c r="K82" s="35">
        <v>372.57</v>
      </c>
      <c r="L82" s="37">
        <f t="shared" si="2"/>
        <v>3.5574594471098932E-2</v>
      </c>
    </row>
    <row r="83" spans="1:12" x14ac:dyDescent="0.25">
      <c r="A83" s="25" t="s">
        <v>207</v>
      </c>
      <c r="B83" s="34" t="s">
        <v>72</v>
      </c>
      <c r="C83" s="25" t="s">
        <v>87</v>
      </c>
      <c r="D83" s="35">
        <v>200</v>
      </c>
      <c r="E83" s="36">
        <v>12.27</v>
      </c>
      <c r="F83" s="38">
        <v>95.907499999999999</v>
      </c>
      <c r="G83" s="37">
        <v>0.91224000000000005</v>
      </c>
      <c r="H83" s="42">
        <v>31263</v>
      </c>
      <c r="I83" s="43">
        <v>79.075000000000003</v>
      </c>
      <c r="J83" s="42">
        <v>827.02</v>
      </c>
      <c r="K83" s="38">
        <v>16.111000000000001</v>
      </c>
      <c r="L83" s="37">
        <f t="shared" si="2"/>
        <v>9.5614374501221261E-2</v>
      </c>
    </row>
    <row r="84" spans="1:12" x14ac:dyDescent="0.25">
      <c r="A84" s="25" t="s">
        <v>208</v>
      </c>
      <c r="B84" s="34" t="s">
        <v>63</v>
      </c>
      <c r="C84" s="25" t="s">
        <v>64</v>
      </c>
      <c r="D84" s="35">
        <v>477</v>
      </c>
      <c r="E84" s="39">
        <v>7.8305999999999996</v>
      </c>
      <c r="F84" s="35">
        <v>5524.5</v>
      </c>
      <c r="G84" s="37">
        <v>6.4322999999999997</v>
      </c>
      <c r="H84" s="42">
        <v>46809</v>
      </c>
      <c r="I84" s="42">
        <v>240.71</v>
      </c>
      <c r="J84" s="42">
        <v>1042.3</v>
      </c>
      <c r="K84" s="35">
        <v>476.62</v>
      </c>
      <c r="L84" s="37">
        <f t="shared" si="2"/>
        <v>0.23094118775784325</v>
      </c>
    </row>
    <row r="85" spans="1:12" x14ac:dyDescent="0.25">
      <c r="A85" s="25" t="s">
        <v>209</v>
      </c>
      <c r="B85" s="34" t="s">
        <v>95</v>
      </c>
      <c r="C85" s="25" t="s">
        <v>93</v>
      </c>
      <c r="D85" s="35">
        <v>180</v>
      </c>
      <c r="E85" s="36">
        <v>11.17</v>
      </c>
      <c r="F85" s="35">
        <v>9111</v>
      </c>
      <c r="G85" s="37">
        <v>6.5461</v>
      </c>
      <c r="H85" s="42">
        <v>37506</v>
      </c>
      <c r="I85" s="43">
        <v>47.344999999999999</v>
      </c>
      <c r="J85" s="42">
        <v>842.93</v>
      </c>
      <c r="K85" s="38">
        <v>86.027000000000001</v>
      </c>
      <c r="L85" s="37">
        <f t="shared" si="2"/>
        <v>5.6167178769292829E-2</v>
      </c>
    </row>
    <row r="86" spans="1:12" x14ac:dyDescent="0.25">
      <c r="A86" s="25" t="s">
        <v>210</v>
      </c>
      <c r="B86" s="34" t="s">
        <v>211</v>
      </c>
      <c r="C86" s="25" t="s">
        <v>103</v>
      </c>
      <c r="D86" s="35">
        <v>350</v>
      </c>
      <c r="E86" s="39">
        <v>9.1339000000000006</v>
      </c>
      <c r="F86" s="35">
        <v>11823</v>
      </c>
      <c r="G86" s="38">
        <v>21.058</v>
      </c>
      <c r="H86" s="42">
        <v>54614</v>
      </c>
      <c r="I86" s="43">
        <v>61.591999999999999</v>
      </c>
      <c r="J86" s="42">
        <v>1274.9000000000001</v>
      </c>
      <c r="K86" s="35">
        <v>802.82</v>
      </c>
      <c r="L86" s="37">
        <f t="shared" si="2"/>
        <v>4.8311240097262523E-2</v>
      </c>
    </row>
    <row r="87" spans="1:12" x14ac:dyDescent="0.25">
      <c r="A87" s="25" t="s">
        <v>212</v>
      </c>
      <c r="B87" s="34" t="s">
        <v>213</v>
      </c>
      <c r="C87" s="25" t="s">
        <v>87</v>
      </c>
      <c r="D87" s="35">
        <v>200</v>
      </c>
      <c r="E87" s="36">
        <v>12.27</v>
      </c>
      <c r="F87" s="35">
        <v>444.57</v>
      </c>
      <c r="G87" s="37">
        <v>0.71208000000000005</v>
      </c>
      <c r="H87" s="42">
        <v>40764</v>
      </c>
      <c r="I87" s="43">
        <v>66.561000000000007</v>
      </c>
      <c r="J87" s="42">
        <v>918.69</v>
      </c>
      <c r="K87" s="38">
        <v>26.625</v>
      </c>
      <c r="L87" s="37">
        <f t="shared" si="2"/>
        <v>7.2452078503085923E-2</v>
      </c>
    </row>
    <row r="88" spans="1:12" x14ac:dyDescent="0.25">
      <c r="A88" s="25" t="s">
        <v>214</v>
      </c>
      <c r="B88" s="34" t="s">
        <v>215</v>
      </c>
      <c r="C88" s="25" t="s">
        <v>75</v>
      </c>
      <c r="D88" s="35">
        <v>221</v>
      </c>
      <c r="E88" s="36">
        <v>10.404999999999999</v>
      </c>
      <c r="F88" s="35">
        <v>2623.4</v>
      </c>
      <c r="G88" s="37">
        <v>2.3993000000000002</v>
      </c>
      <c r="H88" s="42">
        <v>26269</v>
      </c>
      <c r="I88" s="42">
        <v>202.47</v>
      </c>
      <c r="J88" s="42">
        <v>1193.2</v>
      </c>
      <c r="K88" s="35">
        <v>415.65</v>
      </c>
      <c r="L88" s="37">
        <f t="shared" si="2"/>
        <v>0.16968655715722428</v>
      </c>
    </row>
    <row r="89" spans="1:12" x14ac:dyDescent="0.25">
      <c r="A89" s="25" t="s">
        <v>216</v>
      </c>
      <c r="B89" s="34" t="s">
        <v>217</v>
      </c>
      <c r="C89" s="25" t="s">
        <v>87</v>
      </c>
      <c r="D89" s="35">
        <v>200</v>
      </c>
      <c r="E89" s="36">
        <v>12.27</v>
      </c>
      <c r="F89" s="35">
        <v>13867</v>
      </c>
      <c r="G89" s="38">
        <v>20.748999999999999</v>
      </c>
      <c r="H89" s="42">
        <v>42792</v>
      </c>
      <c r="I89" s="42" t="s">
        <v>218</v>
      </c>
      <c r="J89" s="42">
        <v>812.56</v>
      </c>
      <c r="K89" s="38">
        <v>19.463999999999999</v>
      </c>
      <c r="L89" s="37">
        <f>54/J89</f>
        <v>6.6456630894949298E-2</v>
      </c>
    </row>
    <row r="90" spans="1:12" x14ac:dyDescent="0.25">
      <c r="A90" s="25" t="s">
        <v>219</v>
      </c>
      <c r="B90" s="34" t="s">
        <v>220</v>
      </c>
      <c r="C90" s="25" t="s">
        <v>96</v>
      </c>
      <c r="D90" s="35">
        <v>214</v>
      </c>
      <c r="E90" s="39">
        <v>9.8000000000000007</v>
      </c>
      <c r="F90" s="35">
        <v>190.06</v>
      </c>
      <c r="G90" s="37">
        <v>0.85767000000000004</v>
      </c>
      <c r="H90" s="42">
        <v>46177</v>
      </c>
      <c r="I90" s="43">
        <v>56.527000000000001</v>
      </c>
      <c r="J90" s="42">
        <v>1060.5</v>
      </c>
      <c r="K90" s="35">
        <v>104.88</v>
      </c>
      <c r="L90" s="37">
        <f t="shared" ref="L90:L98" si="3">I90/J90</f>
        <v>5.3302215935879305E-2</v>
      </c>
    </row>
    <row r="91" spans="1:12" x14ac:dyDescent="0.25">
      <c r="A91" s="25" t="s">
        <v>221</v>
      </c>
      <c r="B91" s="34" t="s">
        <v>222</v>
      </c>
      <c r="C91" s="25" t="s">
        <v>87</v>
      </c>
      <c r="D91" s="35">
        <v>200</v>
      </c>
      <c r="E91" s="36">
        <v>12.27</v>
      </c>
      <c r="F91" s="38">
        <v>95.438000000000002</v>
      </c>
      <c r="G91" s="37">
        <v>1.1759999999999999</v>
      </c>
      <c r="H91" s="42">
        <v>11898</v>
      </c>
      <c r="I91" s="43">
        <v>48.268000000000001</v>
      </c>
      <c r="J91" s="42">
        <v>582.64</v>
      </c>
      <c r="K91" s="38">
        <v>46.039000000000001</v>
      </c>
      <c r="L91" s="37">
        <f t="shared" si="3"/>
        <v>8.2843608403130584E-2</v>
      </c>
    </row>
    <row r="92" spans="1:12" x14ac:dyDescent="0.25">
      <c r="A92" s="25" t="s">
        <v>223</v>
      </c>
      <c r="B92" s="34" t="s">
        <v>135</v>
      </c>
      <c r="C92" s="25" t="s">
        <v>75</v>
      </c>
      <c r="D92" s="35">
        <v>221</v>
      </c>
      <c r="E92" s="36">
        <v>10.404999999999999</v>
      </c>
      <c r="F92" s="35">
        <v>1170.2</v>
      </c>
      <c r="G92" s="37">
        <v>1.6970000000000001</v>
      </c>
      <c r="H92" s="42">
        <v>14302</v>
      </c>
      <c r="I92" s="43">
        <v>21.492000000000001</v>
      </c>
      <c r="J92" s="42">
        <v>1718.9</v>
      </c>
      <c r="K92" s="35">
        <v>1057.2</v>
      </c>
      <c r="L92" s="37">
        <f t="shared" si="3"/>
        <v>1.250334516260399E-2</v>
      </c>
    </row>
    <row r="93" spans="1:12" x14ac:dyDescent="0.25">
      <c r="A93" s="25" t="s">
        <v>224</v>
      </c>
      <c r="B93" s="34" t="s">
        <v>182</v>
      </c>
      <c r="C93" s="25" t="s">
        <v>51</v>
      </c>
      <c r="D93" s="35">
        <v>576</v>
      </c>
      <c r="E93" s="36">
        <v>10.52</v>
      </c>
      <c r="F93" s="35">
        <v>1330.3</v>
      </c>
      <c r="G93" s="37">
        <v>2.7155999999999998</v>
      </c>
      <c r="H93" s="42">
        <v>37305</v>
      </c>
      <c r="I93" s="42">
        <v>245.97</v>
      </c>
      <c r="J93" s="42">
        <v>677.04</v>
      </c>
      <c r="K93" s="35">
        <v>167.97</v>
      </c>
      <c r="L93" s="37">
        <f t="shared" si="3"/>
        <v>0.36330202056008509</v>
      </c>
    </row>
    <row r="94" spans="1:12" x14ac:dyDescent="0.25">
      <c r="A94" s="25" t="s">
        <v>225</v>
      </c>
      <c r="B94" s="34" t="s">
        <v>226</v>
      </c>
      <c r="C94" s="25" t="s">
        <v>51</v>
      </c>
      <c r="D94" s="35">
        <v>576</v>
      </c>
      <c r="E94" s="36">
        <v>10.5</v>
      </c>
      <c r="F94" s="35">
        <v>378.08499999999998</v>
      </c>
      <c r="G94" s="37">
        <v>1.2628999999999999</v>
      </c>
      <c r="H94" s="42">
        <v>31786</v>
      </c>
      <c r="I94" s="42">
        <v>112.47</v>
      </c>
      <c r="J94" s="42">
        <v>741.38</v>
      </c>
      <c r="K94" s="35">
        <v>274.12</v>
      </c>
      <c r="L94" s="37">
        <f t="shared" si="3"/>
        <v>0.15170357981062343</v>
      </c>
    </row>
    <row r="95" spans="1:12" x14ac:dyDescent="0.25">
      <c r="A95" s="25" t="s">
        <v>227</v>
      </c>
      <c r="B95" s="34" t="s">
        <v>228</v>
      </c>
      <c r="C95" s="25" t="s">
        <v>87</v>
      </c>
      <c r="D95" s="35">
        <v>200</v>
      </c>
      <c r="E95" s="36">
        <v>12.27</v>
      </c>
      <c r="F95" s="35">
        <v>1830.75</v>
      </c>
      <c r="G95" s="37">
        <v>0.95540999999999998</v>
      </c>
      <c r="H95" s="42">
        <v>41069</v>
      </c>
      <c r="I95" s="43">
        <v>70.161000000000001</v>
      </c>
      <c r="J95" s="42">
        <v>1142</v>
      </c>
      <c r="K95" s="35">
        <v>257.35000000000002</v>
      </c>
      <c r="L95" s="37">
        <f t="shared" si="3"/>
        <v>6.1436952714535906E-2</v>
      </c>
    </row>
    <row r="96" spans="1:12" x14ac:dyDescent="0.25">
      <c r="A96" s="25" t="s">
        <v>229</v>
      </c>
      <c r="B96" s="34" t="s">
        <v>230</v>
      </c>
      <c r="C96" s="25" t="s">
        <v>54</v>
      </c>
      <c r="D96" s="35">
        <v>203</v>
      </c>
      <c r="E96" s="39">
        <v>7.8368000000000002</v>
      </c>
      <c r="F96" s="35">
        <v>3720</v>
      </c>
      <c r="G96" s="38">
        <v>32.259</v>
      </c>
      <c r="H96" s="42">
        <v>65886</v>
      </c>
      <c r="I96" s="42">
        <v>2416.8000000000002</v>
      </c>
      <c r="J96" s="42">
        <v>2506.5</v>
      </c>
      <c r="K96" s="35">
        <v>214.04</v>
      </c>
      <c r="L96" s="37">
        <f t="shared" si="3"/>
        <v>0.96421304608019154</v>
      </c>
    </row>
    <row r="97" spans="1:12" x14ac:dyDescent="0.25">
      <c r="A97" s="25" t="s">
        <v>22</v>
      </c>
      <c r="B97" s="34" t="s">
        <v>1</v>
      </c>
      <c r="C97" s="25" t="s">
        <v>58</v>
      </c>
      <c r="D97" s="35">
        <v>137</v>
      </c>
      <c r="E97" s="36">
        <v>10.5</v>
      </c>
      <c r="F97" s="35">
        <v>683.5</v>
      </c>
      <c r="G97" s="37">
        <v>1.6667000000000001</v>
      </c>
      <c r="H97" s="42">
        <v>60673</v>
      </c>
      <c r="I97" s="42">
        <v>167.97</v>
      </c>
      <c r="J97" s="42">
        <v>1637.2</v>
      </c>
      <c r="K97" s="35">
        <v>584.66999999999996</v>
      </c>
      <c r="L97" s="37">
        <f t="shared" si="3"/>
        <v>0.10259589543122404</v>
      </c>
    </row>
    <row r="98" spans="1:12" x14ac:dyDescent="0.25">
      <c r="A98" s="25" t="s">
        <v>231</v>
      </c>
      <c r="B98" s="34" t="s">
        <v>150</v>
      </c>
      <c r="C98" s="25" t="s">
        <v>58</v>
      </c>
      <c r="D98" s="35">
        <v>137</v>
      </c>
      <c r="E98" s="36">
        <v>10.5</v>
      </c>
      <c r="F98" s="35">
        <v>433.4</v>
      </c>
      <c r="G98" s="37">
        <v>1.0015000000000001</v>
      </c>
      <c r="H98" s="42">
        <v>35694</v>
      </c>
      <c r="I98" s="42">
        <v>183.9</v>
      </c>
      <c r="J98" s="42">
        <v>1293.5</v>
      </c>
      <c r="K98" s="35">
        <v>365.84</v>
      </c>
      <c r="L98" s="37">
        <f t="shared" si="3"/>
        <v>0.14217240046385776</v>
      </c>
    </row>
    <row r="99" spans="1:12" x14ac:dyDescent="0.25">
      <c r="A99" s="25" t="s">
        <v>232</v>
      </c>
      <c r="B99" s="34" t="s">
        <v>162</v>
      </c>
      <c r="C99" s="25" t="s">
        <v>87</v>
      </c>
      <c r="D99" s="35">
        <v>200</v>
      </c>
      <c r="E99" s="36">
        <v>12.27</v>
      </c>
      <c r="F99" s="35">
        <v>23227</v>
      </c>
      <c r="G99" s="38">
        <v>10.282999999999999</v>
      </c>
      <c r="H99" s="35">
        <v>59893</v>
      </c>
      <c r="I99" s="35" t="s">
        <v>163</v>
      </c>
      <c r="J99" s="35">
        <v>1073.3</v>
      </c>
      <c r="K99" s="38">
        <v>79.992000000000004</v>
      </c>
      <c r="L99" s="37">
        <f>92/J99</f>
        <v>8.5716947731296012E-2</v>
      </c>
    </row>
    <row r="100" spans="1:12" x14ac:dyDescent="0.25">
      <c r="A100" s="25" t="s">
        <v>233</v>
      </c>
      <c r="B100" s="34" t="s">
        <v>234</v>
      </c>
      <c r="C100" s="25" t="s">
        <v>87</v>
      </c>
      <c r="D100" s="35">
        <v>200</v>
      </c>
      <c r="E100" s="36">
        <v>12.27</v>
      </c>
      <c r="F100" s="35">
        <v>807.66499999999996</v>
      </c>
      <c r="G100" s="37">
        <v>1.1974</v>
      </c>
      <c r="H100" s="35">
        <v>19854</v>
      </c>
      <c r="I100" s="35" t="s">
        <v>235</v>
      </c>
      <c r="J100" s="35">
        <v>567.61</v>
      </c>
      <c r="K100" s="38">
        <v>86.739000000000004</v>
      </c>
      <c r="L100" s="37">
        <f>21/J100</f>
        <v>3.6997234016314016E-2</v>
      </c>
    </row>
    <row r="101" spans="1:12" x14ac:dyDescent="0.25">
      <c r="A101" s="25" t="s">
        <v>236</v>
      </c>
      <c r="B101" s="34" t="s">
        <v>237</v>
      </c>
      <c r="C101" s="25" t="s">
        <v>68</v>
      </c>
      <c r="D101" s="35">
        <v>217</v>
      </c>
      <c r="E101" s="39">
        <v>8.1303999999999998</v>
      </c>
      <c r="F101" s="35">
        <v>1479.8</v>
      </c>
      <c r="G101" s="37">
        <v>1.1929000000000001</v>
      </c>
      <c r="H101" s="35">
        <v>33881</v>
      </c>
      <c r="I101" s="38">
        <v>84.603999999999999</v>
      </c>
      <c r="J101" s="35">
        <v>801.29</v>
      </c>
      <c r="K101" s="38">
        <v>60.133000000000003</v>
      </c>
      <c r="L101" s="37">
        <f>I101/J101</f>
        <v>0.10558474459933358</v>
      </c>
    </row>
    <row r="102" spans="1:12" x14ac:dyDescent="0.25">
      <c r="A102" s="25" t="s">
        <v>238</v>
      </c>
      <c r="B102" s="34" t="s">
        <v>162</v>
      </c>
      <c r="C102" s="25" t="s">
        <v>96</v>
      </c>
      <c r="D102" s="35">
        <v>214</v>
      </c>
      <c r="E102" s="39">
        <v>9.8007000000000009</v>
      </c>
      <c r="F102" s="35">
        <v>25531</v>
      </c>
      <c r="G102" s="38">
        <v>15.811999999999999</v>
      </c>
      <c r="H102" s="35">
        <v>63834</v>
      </c>
      <c r="I102" s="35">
        <v>211.23</v>
      </c>
      <c r="J102" s="35">
        <v>1296.5</v>
      </c>
      <c r="K102" s="38">
        <v>51.48</v>
      </c>
      <c r="L102" s="37">
        <f>I102/J102</f>
        <v>0.16292325491708445</v>
      </c>
    </row>
    <row r="103" spans="1:12" x14ac:dyDescent="0.25">
      <c r="A103" s="25" t="s">
        <v>239</v>
      </c>
      <c r="B103" s="34" t="s">
        <v>240</v>
      </c>
      <c r="C103" s="25" t="s">
        <v>96</v>
      </c>
      <c r="D103" s="35">
        <v>214</v>
      </c>
      <c r="E103" s="39">
        <v>9.8007000000000009</v>
      </c>
      <c r="F103" s="35">
        <v>27993</v>
      </c>
      <c r="G103" s="38">
        <v>29.268999999999998</v>
      </c>
      <c r="H103" s="35">
        <v>59124</v>
      </c>
      <c r="I103" s="35">
        <v>116.53</v>
      </c>
      <c r="J103" s="35">
        <v>791.85</v>
      </c>
      <c r="K103" s="38">
        <v>59.207000000000001</v>
      </c>
      <c r="L103" s="37">
        <f>I103/J103</f>
        <v>0.14716170991980804</v>
      </c>
    </row>
    <row r="104" spans="1:12" x14ac:dyDescent="0.25">
      <c r="A104" s="25" t="s">
        <v>241</v>
      </c>
      <c r="B104" s="34" t="s">
        <v>240</v>
      </c>
      <c r="C104" s="25" t="s">
        <v>96</v>
      </c>
      <c r="D104" s="35">
        <v>214</v>
      </c>
      <c r="E104" s="39">
        <v>9.8007000000000009</v>
      </c>
      <c r="F104" s="35">
        <v>23224.5</v>
      </c>
      <c r="G104" s="38">
        <v>45.860999999999997</v>
      </c>
      <c r="H104" s="35">
        <v>55774</v>
      </c>
      <c r="I104" s="35" t="s">
        <v>242</v>
      </c>
      <c r="J104" s="35">
        <v>912.98</v>
      </c>
      <c r="K104" s="38">
        <v>35.155000000000001</v>
      </c>
      <c r="L104" s="37">
        <f>87/J104</f>
        <v>9.5292339372165871E-2</v>
      </c>
    </row>
    <row r="105" spans="1:12" x14ac:dyDescent="0.25">
      <c r="A105" s="25" t="s">
        <v>243</v>
      </c>
      <c r="B105" s="34" t="s">
        <v>179</v>
      </c>
      <c r="C105" s="25" t="s">
        <v>87</v>
      </c>
      <c r="D105" s="35">
        <v>200</v>
      </c>
      <c r="E105" s="36">
        <v>12.27</v>
      </c>
      <c r="F105" s="35">
        <v>4859.8500000000004</v>
      </c>
      <c r="G105" s="37">
        <v>1.3615999999999999</v>
      </c>
      <c r="H105" s="35">
        <v>21820</v>
      </c>
      <c r="I105" s="38">
        <v>30.753</v>
      </c>
      <c r="J105" s="35">
        <v>598.85</v>
      </c>
      <c r="K105" s="35">
        <v>169.64</v>
      </c>
      <c r="L105" s="37">
        <f>I105/J105</f>
        <v>5.1353427402521495E-2</v>
      </c>
    </row>
    <row r="106" spans="1:12" x14ac:dyDescent="0.25">
      <c r="A106" s="25" t="s">
        <v>244</v>
      </c>
      <c r="B106" s="34" t="s">
        <v>245</v>
      </c>
      <c r="C106" s="25" t="s">
        <v>87</v>
      </c>
      <c r="D106" s="35">
        <v>200</v>
      </c>
      <c r="E106" s="36">
        <v>12.27</v>
      </c>
      <c r="F106" s="35">
        <v>17285</v>
      </c>
      <c r="G106" s="37">
        <v>6.3615000000000004</v>
      </c>
      <c r="H106" s="35">
        <v>52770</v>
      </c>
      <c r="I106" s="35">
        <v>227.89</v>
      </c>
      <c r="J106" s="35">
        <v>807.46</v>
      </c>
      <c r="K106" s="35">
        <v>459.79</v>
      </c>
      <c r="L106" s="37">
        <f>I106/J106</f>
        <v>0.28223069873430262</v>
      </c>
    </row>
    <row r="107" spans="1:12" x14ac:dyDescent="0.25">
      <c r="A107" s="25" t="s">
        <v>246</v>
      </c>
      <c r="B107" s="34" t="s">
        <v>245</v>
      </c>
      <c r="C107" s="25" t="s">
        <v>87</v>
      </c>
      <c r="D107" s="35">
        <v>200</v>
      </c>
      <c r="E107" s="36">
        <v>12.27</v>
      </c>
      <c r="F107" s="35">
        <v>14863</v>
      </c>
      <c r="G107" s="38">
        <v>15.16</v>
      </c>
      <c r="H107" s="35">
        <v>45879</v>
      </c>
      <c r="I107" s="35">
        <v>138.06</v>
      </c>
      <c r="J107" s="35">
        <v>913.9</v>
      </c>
      <c r="K107" s="35">
        <v>508.83</v>
      </c>
      <c r="L107" s="37">
        <f>I107/J107</f>
        <v>0.15106685633001424</v>
      </c>
    </row>
    <row r="108" spans="1:12" x14ac:dyDescent="0.25">
      <c r="A108" s="25" t="s">
        <v>247</v>
      </c>
      <c r="B108" s="34" t="s">
        <v>240</v>
      </c>
      <c r="C108" s="25" t="s">
        <v>87</v>
      </c>
      <c r="D108" s="35">
        <v>200</v>
      </c>
      <c r="E108" s="36">
        <v>12.27</v>
      </c>
      <c r="F108" s="35">
        <v>24361.5</v>
      </c>
      <c r="G108" s="37">
        <v>9.6882999999999999</v>
      </c>
      <c r="H108" s="35">
        <v>47480</v>
      </c>
      <c r="I108" s="35" t="s">
        <v>248</v>
      </c>
      <c r="J108" s="35">
        <v>1078.0999999999999</v>
      </c>
      <c r="K108" s="38">
        <v>70.489000000000004</v>
      </c>
      <c r="L108" s="37">
        <f>102/J108</f>
        <v>9.4610889527873124E-2</v>
      </c>
    </row>
    <row r="109" spans="1:12" x14ac:dyDescent="0.25">
      <c r="A109" s="25" t="s">
        <v>249</v>
      </c>
      <c r="B109" s="34" t="s">
        <v>240</v>
      </c>
      <c r="C109" s="25" t="s">
        <v>87</v>
      </c>
      <c r="D109" s="35">
        <v>200</v>
      </c>
      <c r="E109" s="36">
        <v>12.27</v>
      </c>
      <c r="F109" s="35">
        <v>35908</v>
      </c>
      <c r="G109" s="38">
        <v>11.791</v>
      </c>
      <c r="H109" s="35">
        <v>63568</v>
      </c>
      <c r="I109" s="35" t="s">
        <v>250</v>
      </c>
      <c r="J109" s="35">
        <v>959.49</v>
      </c>
      <c r="K109" s="38">
        <v>94.048000000000002</v>
      </c>
      <c r="L109" s="37">
        <f>126/J109</f>
        <v>0.13131976362442546</v>
      </c>
    </row>
    <row r="110" spans="1:12" x14ac:dyDescent="0.25">
      <c r="A110" s="25" t="s">
        <v>251</v>
      </c>
      <c r="B110" s="34" t="s">
        <v>252</v>
      </c>
      <c r="C110" s="25" t="s">
        <v>87</v>
      </c>
      <c r="D110" s="35">
        <v>200</v>
      </c>
      <c r="E110" s="36">
        <v>12.27</v>
      </c>
      <c r="F110" s="35">
        <v>253.80500000000001</v>
      </c>
      <c r="G110" s="37">
        <v>0.23749000000000001</v>
      </c>
      <c r="H110" s="35">
        <v>21102</v>
      </c>
      <c r="I110" s="35" t="s">
        <v>88</v>
      </c>
      <c r="J110" s="35">
        <v>718.67</v>
      </c>
      <c r="K110" s="35">
        <v>646.76</v>
      </c>
      <c r="L110" s="37">
        <f>32/J110</f>
        <v>4.4526695145198775E-2</v>
      </c>
    </row>
    <row r="111" spans="1:12" x14ac:dyDescent="0.25">
      <c r="A111" s="25" t="s">
        <v>253</v>
      </c>
      <c r="B111" s="34" t="s">
        <v>254</v>
      </c>
      <c r="C111" s="25" t="s">
        <v>87</v>
      </c>
      <c r="D111" s="35">
        <v>200</v>
      </c>
      <c r="E111" s="36">
        <v>12.27</v>
      </c>
      <c r="F111" s="35">
        <v>8840.0499999999993</v>
      </c>
      <c r="G111" s="37">
        <v>3.7054</v>
      </c>
      <c r="H111" s="35">
        <v>43979</v>
      </c>
      <c r="I111" s="35" t="s">
        <v>218</v>
      </c>
      <c r="J111" s="35">
        <v>774.97</v>
      </c>
      <c r="K111" s="35">
        <v>116.44</v>
      </c>
      <c r="L111" s="37">
        <f>54/J111</f>
        <v>6.9680116649676757E-2</v>
      </c>
    </row>
    <row r="112" spans="1:12" x14ac:dyDescent="0.25">
      <c r="A112" s="25" t="s">
        <v>255</v>
      </c>
      <c r="B112" s="34" t="s">
        <v>86</v>
      </c>
      <c r="C112" s="25" t="s">
        <v>87</v>
      </c>
      <c r="D112" s="35">
        <v>200</v>
      </c>
      <c r="E112" s="36">
        <v>12.27</v>
      </c>
      <c r="F112" s="35">
        <v>369.13499999999999</v>
      </c>
      <c r="G112" s="37">
        <v>0.43674000000000002</v>
      </c>
      <c r="H112" s="35">
        <v>22764</v>
      </c>
      <c r="I112" s="35" t="s">
        <v>256</v>
      </c>
      <c r="J112" s="35">
        <v>791.51</v>
      </c>
      <c r="K112" s="35">
        <v>186.36</v>
      </c>
      <c r="L112" s="37">
        <f>23/J112</f>
        <v>2.9058382079822111E-2</v>
      </c>
    </row>
    <row r="113" spans="1:12" x14ac:dyDescent="0.25">
      <c r="A113" s="25" t="s">
        <v>257</v>
      </c>
      <c r="B113" s="34" t="s">
        <v>258</v>
      </c>
      <c r="C113" s="25" t="s">
        <v>87</v>
      </c>
      <c r="D113" s="35">
        <v>200</v>
      </c>
      <c r="E113" s="36">
        <v>12.27</v>
      </c>
      <c r="F113" s="35">
        <v>2069.4499999999998</v>
      </c>
      <c r="G113" s="37">
        <v>0.35748999999999997</v>
      </c>
      <c r="H113" s="35">
        <v>39673</v>
      </c>
      <c r="I113" s="38">
        <v>66.116</v>
      </c>
      <c r="J113" s="35">
        <v>1143.5</v>
      </c>
      <c r="K113" s="38">
        <v>79.885000000000005</v>
      </c>
      <c r="L113" s="37">
        <f>I113/J113</f>
        <v>5.7818976825535634E-2</v>
      </c>
    </row>
    <row r="114" spans="1:12" x14ac:dyDescent="0.25">
      <c r="A114" s="25" t="s">
        <v>259</v>
      </c>
      <c r="B114" s="34" t="s">
        <v>260</v>
      </c>
      <c r="C114" s="25" t="s">
        <v>87</v>
      </c>
      <c r="D114" s="35">
        <v>200</v>
      </c>
      <c r="E114" s="36">
        <v>12.27</v>
      </c>
      <c r="F114" s="35">
        <v>3763.1000000000004</v>
      </c>
      <c r="G114" s="37">
        <v>2.0324</v>
      </c>
      <c r="H114" s="35">
        <v>31741</v>
      </c>
      <c r="I114" s="35">
        <v>700.43</v>
      </c>
      <c r="J114" s="35">
        <v>1271.3</v>
      </c>
      <c r="K114" s="38">
        <v>59.951000000000001</v>
      </c>
      <c r="L114" s="37">
        <f>I114/J114</f>
        <v>0.550955714622827</v>
      </c>
    </row>
    <row r="115" spans="1:12" x14ac:dyDescent="0.25">
      <c r="A115" s="25" t="s">
        <v>261</v>
      </c>
      <c r="B115" s="34" t="s">
        <v>168</v>
      </c>
      <c r="C115" s="25" t="s">
        <v>87</v>
      </c>
      <c r="D115" s="35">
        <v>200</v>
      </c>
      <c r="E115" s="36">
        <v>12.27</v>
      </c>
      <c r="F115" s="35">
        <v>348.33500000000004</v>
      </c>
      <c r="G115" s="37">
        <v>0.59821000000000002</v>
      </c>
      <c r="H115" s="35">
        <v>27162</v>
      </c>
      <c r="I115" s="35" t="s">
        <v>204</v>
      </c>
      <c r="J115" s="35">
        <v>1316.3</v>
      </c>
      <c r="K115" s="35">
        <v>1684.3</v>
      </c>
      <c r="L115" s="37">
        <f>38/J115</f>
        <v>2.8868798906024465E-2</v>
      </c>
    </row>
    <row r="116" spans="1:12" x14ac:dyDescent="0.25">
      <c r="A116" s="25" t="s">
        <v>262</v>
      </c>
      <c r="B116" s="34" t="s">
        <v>263</v>
      </c>
      <c r="C116" s="25" t="s">
        <v>113</v>
      </c>
      <c r="D116" s="35">
        <v>315</v>
      </c>
      <c r="E116" s="36">
        <v>11.824999999999999</v>
      </c>
      <c r="F116" s="35">
        <v>111.80500000000001</v>
      </c>
      <c r="G116" s="37">
        <v>0.35181000000000001</v>
      </c>
      <c r="H116" s="35">
        <v>30573</v>
      </c>
      <c r="I116" s="35">
        <v>137.56</v>
      </c>
      <c r="J116" s="35">
        <v>1583.1</v>
      </c>
      <c r="K116" s="38">
        <v>19.571000000000002</v>
      </c>
      <c r="L116" s="37">
        <f>I116/J116</f>
        <v>8.6892805255511352E-2</v>
      </c>
    </row>
    <row r="117" spans="1:12" x14ac:dyDescent="0.25">
      <c r="A117" s="25" t="s">
        <v>21</v>
      </c>
      <c r="B117" s="34" t="s">
        <v>2</v>
      </c>
      <c r="C117" s="25" t="s">
        <v>103</v>
      </c>
      <c r="D117" s="35">
        <v>350</v>
      </c>
      <c r="E117" s="39">
        <v>9.1339000000000006</v>
      </c>
      <c r="F117" s="35">
        <v>1936.55</v>
      </c>
      <c r="G117" s="37">
        <v>0.55481000000000003</v>
      </c>
      <c r="H117" s="35">
        <v>41451</v>
      </c>
      <c r="I117" s="35">
        <v>595.66999999999996</v>
      </c>
      <c r="J117" s="35">
        <v>1521.7</v>
      </c>
      <c r="K117" s="35">
        <v>633.48</v>
      </c>
      <c r="L117" s="37">
        <f>I117/J117</f>
        <v>0.39145035158046915</v>
      </c>
    </row>
    <row r="118" spans="1:12" x14ac:dyDescent="0.25">
      <c r="A118" s="25" t="s">
        <v>264</v>
      </c>
      <c r="B118" s="34" t="s">
        <v>184</v>
      </c>
      <c r="C118" s="25" t="s">
        <v>103</v>
      </c>
      <c r="D118" s="35">
        <v>350</v>
      </c>
      <c r="E118" s="39">
        <v>9.1339000000000006</v>
      </c>
      <c r="F118" s="35">
        <v>167.22499999999999</v>
      </c>
      <c r="G118" s="37">
        <v>0.21289</v>
      </c>
      <c r="H118" s="35">
        <v>39772</v>
      </c>
      <c r="I118" s="35" t="s">
        <v>265</v>
      </c>
      <c r="J118" s="35">
        <v>1095.7</v>
      </c>
      <c r="K118" s="37">
        <v>9.4503000000000004</v>
      </c>
      <c r="L118" s="37">
        <f>14/J118</f>
        <v>1.2777220041982293E-2</v>
      </c>
    </row>
    <row r="119" spans="1:12" x14ac:dyDescent="0.25">
      <c r="A119" s="25" t="s">
        <v>38</v>
      </c>
      <c r="B119" s="34" t="s">
        <v>36</v>
      </c>
      <c r="C119" s="25" t="s">
        <v>51</v>
      </c>
      <c r="D119" s="35">
        <v>576</v>
      </c>
      <c r="E119" s="36">
        <v>10.52</v>
      </c>
      <c r="F119" s="35">
        <v>639.85500000000002</v>
      </c>
      <c r="G119" s="37">
        <v>1.0205</v>
      </c>
      <c r="H119" s="35">
        <v>68854</v>
      </c>
      <c r="I119" s="35">
        <v>5411.2</v>
      </c>
      <c r="J119" s="35">
        <v>3962.5</v>
      </c>
      <c r="K119" s="35">
        <v>816.8</v>
      </c>
      <c r="L119" s="37">
        <f>I119/J119</f>
        <v>1.3656025236593059</v>
      </c>
    </row>
    <row r="120" spans="1:12" x14ac:dyDescent="0.25">
      <c r="A120" s="25" t="s">
        <v>266</v>
      </c>
      <c r="B120" s="34" t="s">
        <v>254</v>
      </c>
      <c r="C120" s="25" t="s">
        <v>51</v>
      </c>
      <c r="D120" s="35">
        <v>576</v>
      </c>
      <c r="E120" s="36">
        <v>10.52</v>
      </c>
      <c r="F120" s="35">
        <v>6675.35</v>
      </c>
      <c r="G120" s="37">
        <v>13.102</v>
      </c>
      <c r="H120" s="35">
        <v>36048</v>
      </c>
      <c r="I120" s="35" t="s">
        <v>165</v>
      </c>
      <c r="J120" s="35">
        <v>796.77</v>
      </c>
      <c r="K120" s="38">
        <v>63.213999999999999</v>
      </c>
      <c r="L120" s="37">
        <f>95/J120</f>
        <v>0.11923139676443642</v>
      </c>
    </row>
    <row r="121" spans="1:12" x14ac:dyDescent="0.25">
      <c r="A121" s="25" t="s">
        <v>267</v>
      </c>
      <c r="B121" s="34" t="s">
        <v>268</v>
      </c>
      <c r="C121" s="25" t="s">
        <v>113</v>
      </c>
      <c r="D121" s="35">
        <v>315</v>
      </c>
      <c r="E121" s="36">
        <v>11.824999999999999</v>
      </c>
      <c r="F121" s="35">
        <v>3671.3999999999996</v>
      </c>
      <c r="G121" s="37">
        <v>1.0660000000000001</v>
      </c>
      <c r="H121" s="35">
        <v>28104</v>
      </c>
      <c r="I121" s="38">
        <v>77.03</v>
      </c>
      <c r="J121" s="35">
        <v>588.19000000000005</v>
      </c>
      <c r="K121" s="38">
        <v>46.058</v>
      </c>
      <c r="L121" s="37">
        <f t="shared" ref="L121:L129" si="4">I121/J121</f>
        <v>0.13096108400346826</v>
      </c>
    </row>
    <row r="122" spans="1:12" x14ac:dyDescent="0.25">
      <c r="A122" s="25" t="s">
        <v>269</v>
      </c>
      <c r="B122" s="34" t="s">
        <v>162</v>
      </c>
      <c r="C122" s="25" t="s">
        <v>103</v>
      </c>
      <c r="D122" s="35">
        <v>350</v>
      </c>
      <c r="E122" s="39">
        <v>9.1339000000000006</v>
      </c>
      <c r="F122" s="35">
        <v>12119</v>
      </c>
      <c r="G122" s="37">
        <v>19.077999999999999</v>
      </c>
      <c r="H122" s="35">
        <v>38506</v>
      </c>
      <c r="I122" s="38">
        <v>95.838999999999999</v>
      </c>
      <c r="J122" s="35">
        <v>919.82</v>
      </c>
      <c r="K122" s="35">
        <v>174.92</v>
      </c>
      <c r="L122" s="37">
        <f t="shared" si="4"/>
        <v>0.1041932117153356</v>
      </c>
    </row>
    <row r="123" spans="1:12" x14ac:dyDescent="0.25">
      <c r="A123" s="25" t="s">
        <v>24</v>
      </c>
      <c r="B123" s="34" t="s">
        <v>270</v>
      </c>
      <c r="C123" s="25" t="s">
        <v>103</v>
      </c>
      <c r="D123" s="35">
        <v>350</v>
      </c>
      <c r="E123" s="39">
        <v>9.1339000000000006</v>
      </c>
      <c r="F123" s="38">
        <v>31.643500000000003</v>
      </c>
      <c r="G123" s="37">
        <v>0.18346000000000001</v>
      </c>
      <c r="H123" s="35">
        <v>20715</v>
      </c>
      <c r="I123" s="35">
        <v>121.59</v>
      </c>
      <c r="J123" s="35">
        <v>1161.3</v>
      </c>
      <c r="K123" s="38">
        <v>16.582000000000001</v>
      </c>
      <c r="L123" s="37">
        <f t="shared" si="4"/>
        <v>0.10470162748643762</v>
      </c>
    </row>
    <row r="124" spans="1:12" x14ac:dyDescent="0.25">
      <c r="A124" s="25" t="s">
        <v>25</v>
      </c>
      <c r="B124" s="34" t="s">
        <v>3</v>
      </c>
      <c r="C124" s="25" t="s">
        <v>75</v>
      </c>
      <c r="D124" s="35">
        <v>221</v>
      </c>
      <c r="E124" s="36">
        <v>10.404999999999999</v>
      </c>
      <c r="F124" s="35">
        <v>1366</v>
      </c>
      <c r="G124" s="37">
        <v>4.3719000000000001</v>
      </c>
      <c r="H124" s="35">
        <v>52897</v>
      </c>
      <c r="I124" s="35">
        <v>266.18</v>
      </c>
      <c r="J124" s="35">
        <v>1195.9000000000001</v>
      </c>
      <c r="K124" s="38">
        <v>21.271999999999998</v>
      </c>
      <c r="L124" s="37">
        <f t="shared" si="4"/>
        <v>0.2225771385567355</v>
      </c>
    </row>
    <row r="125" spans="1:12" x14ac:dyDescent="0.25">
      <c r="A125" s="25" t="s">
        <v>271</v>
      </c>
      <c r="B125" s="34" t="s">
        <v>272</v>
      </c>
      <c r="C125" s="25" t="s">
        <v>75</v>
      </c>
      <c r="D125" s="35">
        <v>221</v>
      </c>
      <c r="E125" s="36">
        <v>10.404999999999999</v>
      </c>
      <c r="F125" s="35">
        <v>2814.7</v>
      </c>
      <c r="G125" s="37">
        <v>0.96565999999999996</v>
      </c>
      <c r="H125" s="35">
        <v>47365</v>
      </c>
      <c r="I125" s="35">
        <v>325.99</v>
      </c>
      <c r="J125" s="35">
        <v>1296.9000000000001</v>
      </c>
      <c r="K125" s="35">
        <v>230.26</v>
      </c>
      <c r="L125" s="37">
        <f t="shared" si="4"/>
        <v>0.25136093762047962</v>
      </c>
    </row>
    <row r="126" spans="1:12" x14ac:dyDescent="0.25">
      <c r="A126" s="25" t="s">
        <v>273</v>
      </c>
      <c r="B126" s="34" t="s">
        <v>168</v>
      </c>
      <c r="C126" s="25" t="s">
        <v>75</v>
      </c>
      <c r="D126" s="35">
        <v>221</v>
      </c>
      <c r="E126" s="36">
        <v>10.404999999999999</v>
      </c>
      <c r="F126" s="35">
        <v>491.18</v>
      </c>
      <c r="G126" s="37">
        <v>0.56969000000000003</v>
      </c>
      <c r="H126" s="35">
        <v>30187</v>
      </c>
      <c r="I126" s="38">
        <v>50.232999999999997</v>
      </c>
      <c r="J126" s="35">
        <v>1218.4000000000001</v>
      </c>
      <c r="K126" s="35">
        <v>2045.8</v>
      </c>
      <c r="L126" s="37">
        <f t="shared" si="4"/>
        <v>4.1228660538411024E-2</v>
      </c>
    </row>
    <row r="127" spans="1:12" x14ac:dyDescent="0.25">
      <c r="A127" s="25" t="s">
        <v>274</v>
      </c>
      <c r="B127" s="34" t="s">
        <v>159</v>
      </c>
      <c r="C127" s="25" t="s">
        <v>58</v>
      </c>
      <c r="D127" s="35">
        <v>137</v>
      </c>
      <c r="E127" s="36">
        <v>10.5</v>
      </c>
      <c r="F127" s="35">
        <v>637.58500000000004</v>
      </c>
      <c r="G127" s="37">
        <v>0.66412000000000004</v>
      </c>
      <c r="H127" s="35">
        <v>30041</v>
      </c>
      <c r="I127" s="35">
        <v>109.29</v>
      </c>
      <c r="J127" s="35">
        <v>1086.7</v>
      </c>
      <c r="K127" s="38">
        <v>81.602000000000004</v>
      </c>
      <c r="L127" s="37">
        <f t="shared" si="4"/>
        <v>0.1005705346461765</v>
      </c>
    </row>
    <row r="128" spans="1:12" x14ac:dyDescent="0.25">
      <c r="A128" s="25" t="s">
        <v>275</v>
      </c>
      <c r="B128" s="34" t="s">
        <v>258</v>
      </c>
      <c r="C128" s="25" t="s">
        <v>75</v>
      </c>
      <c r="D128" s="35">
        <v>221</v>
      </c>
      <c r="E128" s="36">
        <v>10.404999999999999</v>
      </c>
      <c r="F128" s="35">
        <v>1411</v>
      </c>
      <c r="G128" s="37">
        <v>0.40522999999999998</v>
      </c>
      <c r="H128" s="35">
        <v>35707</v>
      </c>
      <c r="I128" s="35">
        <v>85.227999999999994</v>
      </c>
      <c r="J128" s="35">
        <v>868.45</v>
      </c>
      <c r="K128" s="38">
        <v>27.442</v>
      </c>
      <c r="L128" s="37">
        <f t="shared" si="4"/>
        <v>9.8138062064597839E-2</v>
      </c>
    </row>
    <row r="129" spans="1:15" x14ac:dyDescent="0.25">
      <c r="A129" s="25" t="s">
        <v>276</v>
      </c>
      <c r="B129" s="34" t="s">
        <v>260</v>
      </c>
      <c r="C129" s="25" t="s">
        <v>96</v>
      </c>
      <c r="D129" s="35">
        <v>214</v>
      </c>
      <c r="E129" s="39">
        <v>9.8007000000000009</v>
      </c>
      <c r="F129" s="35">
        <v>3797.85</v>
      </c>
      <c r="G129" s="37">
        <v>1.3498000000000001</v>
      </c>
      <c r="H129" s="35">
        <v>30165</v>
      </c>
      <c r="I129" s="35">
        <v>425.38</v>
      </c>
      <c r="J129" s="35">
        <v>1139</v>
      </c>
      <c r="K129" s="38">
        <v>44.292999999999999</v>
      </c>
      <c r="L129" s="37">
        <f t="shared" si="4"/>
        <v>0.37346795434591745</v>
      </c>
    </row>
    <row r="130" spans="1:15" x14ac:dyDescent="0.25">
      <c r="A130" s="25" t="s">
        <v>277</v>
      </c>
      <c r="B130" s="34" t="s">
        <v>40</v>
      </c>
      <c r="C130" s="25" t="s">
        <v>54</v>
      </c>
      <c r="D130" s="35">
        <v>203</v>
      </c>
      <c r="E130" s="39">
        <v>7.8368000000000002</v>
      </c>
      <c r="F130" s="35">
        <v>6612.1</v>
      </c>
      <c r="G130" s="37">
        <v>0.91274999999999995</v>
      </c>
      <c r="H130" s="35">
        <v>28400</v>
      </c>
      <c r="I130" s="35" t="s">
        <v>278</v>
      </c>
      <c r="J130" s="35">
        <v>601.53</v>
      </c>
      <c r="K130" s="38">
        <v>65.617000000000004</v>
      </c>
      <c r="L130" s="37">
        <f>189/J130</f>
        <v>0.31419879307765203</v>
      </c>
    </row>
    <row r="131" spans="1:15" x14ac:dyDescent="0.25">
      <c r="A131" s="25" t="s">
        <v>279</v>
      </c>
      <c r="B131" s="34" t="s">
        <v>40</v>
      </c>
      <c r="C131" s="25" t="s">
        <v>54</v>
      </c>
      <c r="D131" s="35">
        <v>203</v>
      </c>
      <c r="E131" s="39">
        <v>7.8368000000000002</v>
      </c>
      <c r="F131" s="35">
        <v>7379</v>
      </c>
      <c r="G131" s="37">
        <v>0.96814999999999996</v>
      </c>
      <c r="H131" s="35">
        <v>28019</v>
      </c>
      <c r="I131" s="35" t="s">
        <v>97</v>
      </c>
      <c r="J131" s="35">
        <v>700.03</v>
      </c>
      <c r="K131" s="38">
        <v>63.261000000000003</v>
      </c>
      <c r="L131" s="37">
        <f>190/J131</f>
        <v>0.2714169392740311</v>
      </c>
    </row>
    <row r="132" spans="1:15" x14ac:dyDescent="0.25">
      <c r="A132" s="25" t="s">
        <v>280</v>
      </c>
      <c r="B132" s="34" t="s">
        <v>281</v>
      </c>
      <c r="C132" s="25" t="s">
        <v>103</v>
      </c>
      <c r="D132" s="35">
        <v>350</v>
      </c>
      <c r="E132" s="39">
        <v>9.1339000000000006</v>
      </c>
      <c r="F132" s="35">
        <v>1062.8499999999999</v>
      </c>
      <c r="G132" s="37">
        <v>0.88292999999999999</v>
      </c>
      <c r="H132" s="35">
        <v>36847</v>
      </c>
      <c r="I132" s="35" t="s">
        <v>282</v>
      </c>
      <c r="J132" s="35">
        <v>929.36</v>
      </c>
      <c r="K132" s="38">
        <v>50.152999999999999</v>
      </c>
      <c r="L132" s="37">
        <f>40/J132</f>
        <v>4.3040371868812946E-2</v>
      </c>
    </row>
    <row r="133" spans="1:15" x14ac:dyDescent="0.25">
      <c r="A133" s="25" t="s">
        <v>28</v>
      </c>
      <c r="B133" s="34" t="s">
        <v>283</v>
      </c>
      <c r="C133" s="25" t="s">
        <v>75</v>
      </c>
      <c r="D133" s="35">
        <v>221</v>
      </c>
      <c r="E133" s="36">
        <v>10.404999999999999</v>
      </c>
      <c r="F133" s="35">
        <v>459.89</v>
      </c>
      <c r="G133" s="37">
        <v>1.8017000000000001</v>
      </c>
      <c r="H133" s="35">
        <v>65752</v>
      </c>
      <c r="I133" s="35">
        <v>331.93</v>
      </c>
      <c r="J133" s="35">
        <v>1495.6</v>
      </c>
      <c r="K133" s="35">
        <v>248.98</v>
      </c>
      <c r="L133" s="37">
        <f>I133/J133</f>
        <v>0.22193768387269325</v>
      </c>
    </row>
    <row r="134" spans="1:15" x14ac:dyDescent="0.25">
      <c r="A134" s="44" t="s">
        <v>43</v>
      </c>
      <c r="B134" s="45" t="s">
        <v>42</v>
      </c>
      <c r="C134" s="44" t="s">
        <v>54</v>
      </c>
      <c r="D134" s="46">
        <v>203</v>
      </c>
      <c r="E134" s="47">
        <v>7.8368000000000002</v>
      </c>
      <c r="F134" s="46">
        <v>163.60000000000002</v>
      </c>
      <c r="G134" s="48">
        <v>1.3697999999999999</v>
      </c>
      <c r="H134" s="46">
        <v>36031</v>
      </c>
      <c r="I134" s="46">
        <v>286.66000000000003</v>
      </c>
      <c r="J134" s="46">
        <v>1015.6</v>
      </c>
      <c r="K134" s="46">
        <v>163.56</v>
      </c>
      <c r="L134" s="48">
        <f>I134/J134</f>
        <v>0.2822567940133911</v>
      </c>
    </row>
    <row r="135" spans="1:15" ht="15.75" thickBot="1" x14ac:dyDescent="0.3">
      <c r="A135" s="57" t="s">
        <v>284</v>
      </c>
      <c r="B135" s="57" t="s">
        <v>285</v>
      </c>
      <c r="C135" s="58"/>
      <c r="D135" s="59">
        <v>0.04</v>
      </c>
      <c r="E135" s="59">
        <v>5.0000000000000001E-3</v>
      </c>
      <c r="F135" s="59">
        <v>0.01</v>
      </c>
      <c r="G135" s="59">
        <v>0.01</v>
      </c>
      <c r="H135" s="59">
        <v>0.01</v>
      </c>
      <c r="I135" s="59">
        <v>0.1</v>
      </c>
      <c r="J135" s="59">
        <v>0.05</v>
      </c>
      <c r="K135" s="59">
        <v>0.01</v>
      </c>
      <c r="L135" s="60"/>
    </row>
    <row r="136" spans="1:15" ht="17.25" x14ac:dyDescent="0.25">
      <c r="A136" s="52" t="s">
        <v>286</v>
      </c>
      <c r="B136" s="51" t="s">
        <v>461</v>
      </c>
      <c r="C136" s="53"/>
      <c r="D136" s="56">
        <v>564.5</v>
      </c>
      <c r="E136" s="54" t="s">
        <v>287</v>
      </c>
      <c r="F136" s="52">
        <v>572</v>
      </c>
      <c r="G136" s="55">
        <v>5.9</v>
      </c>
      <c r="H136" s="56">
        <v>1387</v>
      </c>
      <c r="I136" s="52">
        <v>199</v>
      </c>
      <c r="J136" s="56">
        <v>365</v>
      </c>
      <c r="K136" s="55">
        <v>9.6</v>
      </c>
      <c r="L136" s="51"/>
    </row>
    <row r="137" spans="1:15" s="11" customFormat="1" ht="17.25" x14ac:dyDescent="0.25">
      <c r="A137" s="44"/>
      <c r="B137" s="85" t="s">
        <v>449</v>
      </c>
      <c r="C137" s="85"/>
      <c r="D137" s="44" t="s">
        <v>288</v>
      </c>
      <c r="E137" s="44" t="s">
        <v>462</v>
      </c>
      <c r="F137" s="44" t="s">
        <v>288</v>
      </c>
      <c r="G137" s="44" t="s">
        <v>462</v>
      </c>
      <c r="H137" s="44" t="s">
        <v>292</v>
      </c>
      <c r="I137" s="44" t="s">
        <v>291</v>
      </c>
      <c r="J137" s="44" t="s">
        <v>290</v>
      </c>
      <c r="K137" s="44" t="s">
        <v>289</v>
      </c>
      <c r="L137" s="44"/>
      <c r="N137"/>
      <c r="O137"/>
    </row>
    <row r="138" spans="1:15" ht="17.25" x14ac:dyDescent="0.25">
      <c r="A138" s="52" t="s">
        <v>293</v>
      </c>
      <c r="B138" s="51" t="s">
        <v>463</v>
      </c>
      <c r="C138" s="53"/>
      <c r="D138" s="52">
        <v>4947</v>
      </c>
      <c r="E138" s="52" t="s">
        <v>294</v>
      </c>
      <c r="F138" s="52">
        <v>4966</v>
      </c>
      <c r="G138" s="52" t="s">
        <v>295</v>
      </c>
      <c r="H138" s="56">
        <v>6741</v>
      </c>
      <c r="I138" s="52">
        <v>827</v>
      </c>
      <c r="J138" s="56">
        <v>1074</v>
      </c>
      <c r="K138" s="52">
        <v>3045</v>
      </c>
      <c r="L138" s="51"/>
    </row>
    <row r="139" spans="1:15" ht="18" thickBot="1" x14ac:dyDescent="0.3">
      <c r="A139" s="27"/>
      <c r="B139" s="28" t="s">
        <v>449</v>
      </c>
      <c r="C139" s="28"/>
      <c r="D139" s="27" t="s">
        <v>296</v>
      </c>
      <c r="E139" s="27" t="s">
        <v>464</v>
      </c>
      <c r="F139" s="27" t="s">
        <v>296</v>
      </c>
      <c r="G139" s="27" t="s">
        <v>464</v>
      </c>
      <c r="H139" s="27" t="s">
        <v>300</v>
      </c>
      <c r="I139" s="27" t="s">
        <v>299</v>
      </c>
      <c r="J139" s="27" t="s">
        <v>298</v>
      </c>
      <c r="K139" s="27" t="s">
        <v>297</v>
      </c>
      <c r="L139" s="28"/>
    </row>
    <row r="140" spans="1:15" x14ac:dyDescent="0.25">
      <c r="A140" s="25"/>
      <c r="B140" s="26"/>
      <c r="C140" s="26"/>
      <c r="D140" s="25"/>
      <c r="E140" s="25"/>
      <c r="F140" s="25"/>
      <c r="G140" s="25"/>
      <c r="H140" s="25"/>
      <c r="I140" s="25"/>
      <c r="J140" s="25"/>
      <c r="K140" s="26"/>
    </row>
    <row r="141" spans="1:15" x14ac:dyDescent="0.25">
      <c r="A141" s="150" t="s">
        <v>474</v>
      </c>
      <c r="B141" s="151"/>
      <c r="C141" s="151"/>
      <c r="F141" s="25"/>
      <c r="G141" s="26"/>
      <c r="H141" s="26"/>
      <c r="I141" s="26"/>
      <c r="J141" s="26"/>
      <c r="K141" s="26"/>
      <c r="M141" s="11"/>
      <c r="N141" s="11"/>
      <c r="O141" s="11"/>
    </row>
    <row r="142" spans="1:15" x14ac:dyDescent="0.25">
      <c r="A142" s="152" t="s">
        <v>475</v>
      </c>
      <c r="B142" s="153"/>
      <c r="C142" s="153"/>
      <c r="F142" s="25"/>
      <c r="G142" s="26"/>
      <c r="H142" s="26"/>
      <c r="I142" s="26"/>
      <c r="J142" s="26"/>
      <c r="K142" s="26"/>
    </row>
    <row r="143" spans="1:15" x14ac:dyDescent="0.25">
      <c r="A143" s="49"/>
      <c r="B143" s="49"/>
      <c r="F143" s="25"/>
      <c r="G143" s="26"/>
      <c r="H143" s="26"/>
      <c r="I143" s="26"/>
      <c r="J143" s="26"/>
      <c r="K143" s="26"/>
    </row>
    <row r="144" spans="1:15" x14ac:dyDescent="0.25">
      <c r="A144" s="25"/>
      <c r="F144" s="25"/>
      <c r="G144" s="26"/>
      <c r="H144" s="26"/>
      <c r="I144" s="26"/>
      <c r="J144" s="26"/>
      <c r="K144" s="26"/>
    </row>
    <row r="147" spans="1:2" x14ac:dyDescent="0.25">
      <c r="A147" s="6"/>
      <c r="B147" s="6"/>
    </row>
    <row r="148" spans="1:2" x14ac:dyDescent="0.25">
      <c r="A148" s="6"/>
      <c r="B148" s="13"/>
    </row>
  </sheetData>
  <mergeCells count="6">
    <mergeCell ref="A3:G3"/>
    <mergeCell ref="A141:C141"/>
    <mergeCell ref="A142:C142"/>
    <mergeCell ref="A2:B2"/>
    <mergeCell ref="A6:B6"/>
    <mergeCell ref="A4:H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095F1-09F3-43CD-9115-DAD50C91CF7C}">
  <dimension ref="A1:X14"/>
  <sheetViews>
    <sheetView workbookViewId="0"/>
  </sheetViews>
  <sheetFormatPr defaultColWidth="11.42578125" defaultRowHeight="12.75" x14ac:dyDescent="0.25"/>
  <cols>
    <col min="1" max="1" width="9.140625" style="22" customWidth="1"/>
    <col min="2" max="2" width="11.42578125" style="22"/>
    <col min="3" max="3" width="8" style="22" customWidth="1"/>
    <col min="4" max="4" width="8.140625" style="22" customWidth="1"/>
    <col min="5" max="5" width="12.7109375" style="22" customWidth="1"/>
    <col min="6" max="6" width="12.42578125" style="22" customWidth="1"/>
    <col min="7" max="7" width="11.7109375" style="22" customWidth="1"/>
    <col min="8" max="8" width="11.5703125" style="22" customWidth="1"/>
    <col min="9" max="9" width="11.85546875" style="22" customWidth="1"/>
    <col min="10" max="11" width="11.42578125" style="22"/>
    <col min="12" max="12" width="10.5703125" style="22" customWidth="1"/>
    <col min="13" max="13" width="17" style="22" customWidth="1"/>
    <col min="14" max="14" width="19.28515625" style="22" customWidth="1"/>
    <col min="15" max="15" width="19.5703125" style="22" customWidth="1"/>
    <col min="16" max="16384" width="11.42578125" style="22"/>
  </cols>
  <sheetData>
    <row r="1" spans="1:24" ht="14.25" customHeight="1" x14ac:dyDescent="0.25"/>
    <row r="2" spans="1:24" ht="15.75" x14ac:dyDescent="0.25">
      <c r="A2" s="104" t="s">
        <v>468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24" ht="15.75" x14ac:dyDescent="0.25">
      <c r="A3" s="103" t="s">
        <v>492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</row>
    <row r="4" spans="1:24" ht="15.75" thickBot="1" x14ac:dyDescent="0.3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</row>
    <row r="5" spans="1:24" ht="18" x14ac:dyDescent="0.25">
      <c r="A5" s="90" t="s">
        <v>301</v>
      </c>
      <c r="B5" s="90" t="s">
        <v>302</v>
      </c>
      <c r="C5" s="90" t="s">
        <v>493</v>
      </c>
      <c r="D5" s="90" t="s">
        <v>494</v>
      </c>
      <c r="E5" s="90" t="s">
        <v>303</v>
      </c>
      <c r="F5" s="90" t="s">
        <v>495</v>
      </c>
      <c r="G5" s="90" t="s">
        <v>496</v>
      </c>
      <c r="H5" s="90" t="s">
        <v>497</v>
      </c>
      <c r="I5" s="90" t="s">
        <v>498</v>
      </c>
      <c r="J5" s="90" t="s">
        <v>499</v>
      </c>
      <c r="K5" s="90" t="s">
        <v>500</v>
      </c>
      <c r="L5" s="90" t="s">
        <v>304</v>
      </c>
      <c r="M5" s="91" t="s">
        <v>305</v>
      </c>
      <c r="N5" s="91" t="s">
        <v>306</v>
      </c>
      <c r="O5" s="91" t="s">
        <v>307</v>
      </c>
      <c r="P5" s="23"/>
      <c r="R5" s="23"/>
      <c r="S5" s="23"/>
      <c r="U5" s="24"/>
      <c r="V5" s="24"/>
      <c r="W5" s="24"/>
      <c r="X5" s="24"/>
    </row>
    <row r="6" spans="1:24" ht="17.25" x14ac:dyDescent="0.25">
      <c r="A6" s="92" t="s">
        <v>308</v>
      </c>
      <c r="B6" s="93"/>
      <c r="C6" s="93"/>
      <c r="D6" s="93"/>
      <c r="E6" s="94" t="s">
        <v>501</v>
      </c>
      <c r="F6" s="94" t="s">
        <v>501</v>
      </c>
      <c r="G6" s="94" t="s">
        <v>501</v>
      </c>
      <c r="H6" s="94" t="s">
        <v>501</v>
      </c>
      <c r="I6" s="94" t="s">
        <v>501</v>
      </c>
      <c r="J6" s="92" t="s">
        <v>309</v>
      </c>
      <c r="K6" s="92" t="s">
        <v>309</v>
      </c>
      <c r="L6" s="92"/>
      <c r="M6" s="95" t="s">
        <v>309</v>
      </c>
      <c r="N6" s="95" t="s">
        <v>309</v>
      </c>
      <c r="O6" s="95" t="s">
        <v>309</v>
      </c>
      <c r="S6" s="23"/>
      <c r="U6" s="24"/>
      <c r="V6" s="24"/>
      <c r="W6" s="24"/>
      <c r="X6" s="24"/>
    </row>
    <row r="7" spans="1:24" ht="18" customHeight="1" x14ac:dyDescent="0.25">
      <c r="A7" s="96" t="s">
        <v>310</v>
      </c>
      <c r="B7" s="96" t="s">
        <v>465</v>
      </c>
      <c r="C7" s="96" t="s">
        <v>312</v>
      </c>
      <c r="D7" s="96" t="s">
        <v>313</v>
      </c>
      <c r="E7" s="96" t="s">
        <v>314</v>
      </c>
      <c r="F7" s="96" t="s">
        <v>315</v>
      </c>
      <c r="G7" s="96" t="s">
        <v>316</v>
      </c>
      <c r="H7" s="96" t="s">
        <v>317</v>
      </c>
      <c r="I7" s="96" t="s">
        <v>318</v>
      </c>
      <c r="J7" s="96" t="s">
        <v>319</v>
      </c>
      <c r="K7" s="96" t="s">
        <v>320</v>
      </c>
      <c r="L7" s="96" t="s">
        <v>321</v>
      </c>
      <c r="M7" s="96" t="s">
        <v>322</v>
      </c>
      <c r="N7" s="96" t="s">
        <v>323</v>
      </c>
      <c r="O7" s="96" t="s">
        <v>324</v>
      </c>
    </row>
    <row r="8" spans="1:24" ht="17.25" customHeight="1" x14ac:dyDescent="0.25">
      <c r="A8" s="96" t="s">
        <v>325</v>
      </c>
      <c r="B8" s="96" t="s">
        <v>326</v>
      </c>
      <c r="C8" s="96" t="s">
        <v>327</v>
      </c>
      <c r="D8" s="96" t="s">
        <v>328</v>
      </c>
      <c r="E8" s="96" t="s">
        <v>329</v>
      </c>
      <c r="F8" s="96" t="s">
        <v>330</v>
      </c>
      <c r="G8" s="96" t="s">
        <v>331</v>
      </c>
      <c r="H8" s="96" t="s">
        <v>332</v>
      </c>
      <c r="I8" s="96" t="s">
        <v>333</v>
      </c>
      <c r="J8" s="96" t="s">
        <v>334</v>
      </c>
      <c r="K8" s="96" t="s">
        <v>335</v>
      </c>
      <c r="L8" s="96" t="s">
        <v>336</v>
      </c>
      <c r="M8" s="96" t="s">
        <v>337</v>
      </c>
      <c r="N8" s="96" t="s">
        <v>338</v>
      </c>
      <c r="O8" s="96" t="s">
        <v>339</v>
      </c>
    </row>
    <row r="9" spans="1:24" ht="18" customHeight="1" x14ac:dyDescent="0.25">
      <c r="A9" s="96" t="s">
        <v>340</v>
      </c>
      <c r="B9" s="96" t="s">
        <v>341</v>
      </c>
      <c r="C9" s="96" t="s">
        <v>342</v>
      </c>
      <c r="D9" s="96" t="s">
        <v>343</v>
      </c>
      <c r="E9" s="96">
        <v>8.65</v>
      </c>
      <c r="F9" s="96" t="s">
        <v>331</v>
      </c>
      <c r="G9" s="96" t="s">
        <v>344</v>
      </c>
      <c r="H9" s="96" t="s">
        <v>345</v>
      </c>
      <c r="I9" s="96" t="s">
        <v>346</v>
      </c>
      <c r="J9" s="96" t="s">
        <v>347</v>
      </c>
      <c r="K9" s="96" t="s">
        <v>348</v>
      </c>
      <c r="L9" s="96" t="s">
        <v>349</v>
      </c>
      <c r="M9" s="96" t="s">
        <v>350</v>
      </c>
      <c r="N9" s="96" t="s">
        <v>351</v>
      </c>
      <c r="O9" s="96" t="s">
        <v>352</v>
      </c>
    </row>
    <row r="10" spans="1:24" ht="18" customHeight="1" x14ac:dyDescent="0.25">
      <c r="A10" s="96" t="s">
        <v>353</v>
      </c>
      <c r="B10" s="96" t="s">
        <v>354</v>
      </c>
      <c r="C10" s="96" t="s">
        <v>355</v>
      </c>
      <c r="D10" s="96" t="s">
        <v>356</v>
      </c>
      <c r="E10" s="96" t="s">
        <v>357</v>
      </c>
      <c r="F10" s="96" t="s">
        <v>358</v>
      </c>
      <c r="G10" s="96" t="s">
        <v>344</v>
      </c>
      <c r="H10" s="96" t="s">
        <v>359</v>
      </c>
      <c r="I10" s="96" t="s">
        <v>360</v>
      </c>
      <c r="J10" s="96" t="s">
        <v>361</v>
      </c>
      <c r="K10" s="96" t="s">
        <v>362</v>
      </c>
      <c r="L10" s="96" t="s">
        <v>363</v>
      </c>
      <c r="M10" s="96" t="s">
        <v>364</v>
      </c>
      <c r="N10" s="96" t="s">
        <v>365</v>
      </c>
      <c r="O10" s="96" t="s">
        <v>366</v>
      </c>
    </row>
    <row r="11" spans="1:24" ht="15.75" thickBot="1" x14ac:dyDescent="0.3">
      <c r="A11" s="97" t="s">
        <v>367</v>
      </c>
      <c r="B11" s="97" t="s">
        <v>368</v>
      </c>
      <c r="C11" s="97" t="s">
        <v>369</v>
      </c>
      <c r="D11" s="97" t="s">
        <v>370</v>
      </c>
      <c r="E11" s="97" t="s">
        <v>371</v>
      </c>
      <c r="F11" s="97" t="s">
        <v>372</v>
      </c>
      <c r="G11" s="97" t="s">
        <v>344</v>
      </c>
      <c r="H11" s="97" t="s">
        <v>373</v>
      </c>
      <c r="I11" s="97" t="s">
        <v>374</v>
      </c>
      <c r="J11" s="97" t="s">
        <v>375</v>
      </c>
      <c r="K11" s="97" t="s">
        <v>362</v>
      </c>
      <c r="L11" s="97" t="s">
        <v>376</v>
      </c>
      <c r="M11" s="97" t="s">
        <v>377</v>
      </c>
      <c r="N11" s="97" t="s">
        <v>378</v>
      </c>
      <c r="O11" s="97" t="s">
        <v>379</v>
      </c>
    </row>
    <row r="12" spans="1:24" ht="15" x14ac:dyDescent="0.25">
      <c r="A12" s="98"/>
      <c r="B12" s="99"/>
      <c r="C12" s="99"/>
      <c r="D12" s="99"/>
      <c r="E12" s="99"/>
      <c r="F12" s="99"/>
      <c r="G12" s="88"/>
      <c r="H12" s="88"/>
      <c r="I12" s="88"/>
      <c r="J12" s="88"/>
      <c r="K12" s="99"/>
      <c r="L12" s="99"/>
      <c r="M12" s="88"/>
      <c r="N12" s="88"/>
      <c r="O12" s="88"/>
    </row>
    <row r="13" spans="1:24" ht="18.75" x14ac:dyDescent="0.25">
      <c r="A13" s="100" t="s">
        <v>502</v>
      </c>
      <c r="B13" s="101"/>
      <c r="C13" s="101"/>
      <c r="D13" s="101"/>
      <c r="E13" s="101"/>
      <c r="F13" s="101"/>
      <c r="G13" s="102"/>
      <c r="H13" s="102"/>
      <c r="I13" s="102"/>
      <c r="J13" s="102"/>
      <c r="K13" s="101"/>
      <c r="L13" s="101"/>
      <c r="M13" s="101"/>
      <c r="N13" s="88"/>
      <c r="O13" s="88"/>
    </row>
    <row r="14" spans="1:24" x14ac:dyDescent="0.2">
      <c r="B14" s="14"/>
      <c r="M14" s="24"/>
    </row>
  </sheetData>
  <pageMargins left="0.7" right="0.7" top="0.78740157499999996" bottom="0.78740157499999996" header="0.3" footer="0.3"/>
  <ignoredErrors>
    <ignoredError sqref="C7:O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E461D-3BE9-4312-A247-3C50F935967B}">
  <dimension ref="A2:L34"/>
  <sheetViews>
    <sheetView workbookViewId="0"/>
  </sheetViews>
  <sheetFormatPr defaultColWidth="9.140625" defaultRowHeight="15" x14ac:dyDescent="0.25"/>
  <cols>
    <col min="1" max="1" width="9.140625" style="15"/>
    <col min="2" max="2" width="10.140625" style="15" customWidth="1"/>
    <col min="3" max="3" width="9.7109375" style="15" customWidth="1"/>
    <col min="4" max="4" width="9.140625" style="15"/>
    <col min="5" max="5" width="13.85546875" style="15" customWidth="1"/>
    <col min="6" max="6" width="9.140625" style="15"/>
    <col min="7" max="7" width="11.5703125" style="15" customWidth="1"/>
    <col min="8" max="8" width="9.140625" style="15"/>
    <col min="9" max="9" width="14.42578125" style="15" customWidth="1"/>
    <col min="10" max="10" width="12.28515625" style="15" customWidth="1"/>
    <col min="11" max="11" width="14.28515625" style="15" customWidth="1"/>
    <col min="12" max="16384" width="9.140625" style="15"/>
  </cols>
  <sheetData>
    <row r="2" spans="1:12" ht="15.75" x14ac:dyDescent="0.25">
      <c r="A2" s="135" t="s">
        <v>469</v>
      </c>
      <c r="B2" s="136"/>
      <c r="C2" s="136"/>
      <c r="D2" s="136"/>
      <c r="E2" s="136"/>
      <c r="F2" s="136"/>
      <c r="G2" s="136"/>
      <c r="H2" s="136"/>
      <c r="I2" s="136"/>
      <c r="J2" s="105"/>
      <c r="K2" s="105"/>
      <c r="L2" s="106"/>
    </row>
    <row r="3" spans="1:12" ht="15.75" x14ac:dyDescent="0.25">
      <c r="A3" s="136" t="s">
        <v>505</v>
      </c>
      <c r="B3" s="136"/>
      <c r="C3" s="136"/>
      <c r="D3" s="136"/>
      <c r="E3" s="136"/>
      <c r="F3" s="136"/>
      <c r="G3" s="136"/>
      <c r="H3" s="136"/>
      <c r="I3" s="136"/>
      <c r="J3" s="105"/>
      <c r="K3" s="105"/>
      <c r="L3" s="106"/>
    </row>
    <row r="4" spans="1:12" ht="15.75" thickBot="1" x14ac:dyDescent="0.3">
      <c r="A4" s="106"/>
      <c r="B4" s="106"/>
      <c r="C4" s="106"/>
      <c r="D4" s="105"/>
      <c r="E4" s="105"/>
      <c r="F4" s="105"/>
      <c r="G4" s="105"/>
      <c r="H4" s="105"/>
      <c r="I4" s="105"/>
      <c r="J4" s="105"/>
      <c r="K4" s="105"/>
      <c r="L4" s="106"/>
    </row>
    <row r="5" spans="1:12" ht="18.75" thickBot="1" x14ac:dyDescent="0.4">
      <c r="A5" s="159" t="s">
        <v>380</v>
      </c>
      <c r="B5" s="160"/>
      <c r="C5" s="161"/>
      <c r="D5" s="137"/>
      <c r="E5" s="159" t="s">
        <v>381</v>
      </c>
      <c r="F5" s="160"/>
      <c r="G5" s="161"/>
      <c r="H5" s="137"/>
      <c r="I5" s="159" t="s">
        <v>503</v>
      </c>
      <c r="J5" s="160"/>
      <c r="K5" s="161"/>
      <c r="L5" s="106"/>
    </row>
    <row r="6" spans="1:12" ht="15.75" thickBot="1" x14ac:dyDescent="0.3">
      <c r="A6" s="164" t="s">
        <v>382</v>
      </c>
      <c r="B6" s="107" t="s">
        <v>447</v>
      </c>
      <c r="C6" s="107" t="s">
        <v>448</v>
      </c>
      <c r="D6" s="105"/>
      <c r="E6" s="157" t="s">
        <v>383</v>
      </c>
      <c r="F6" s="107" t="s">
        <v>447</v>
      </c>
      <c r="G6" s="107" t="s">
        <v>448</v>
      </c>
      <c r="H6" s="105"/>
      <c r="I6" s="157" t="s">
        <v>384</v>
      </c>
      <c r="J6" s="107" t="s">
        <v>447</v>
      </c>
      <c r="K6" s="107" t="s">
        <v>448</v>
      </c>
      <c r="L6" s="106"/>
    </row>
    <row r="7" spans="1:12" ht="17.25" x14ac:dyDescent="0.25">
      <c r="A7" s="158"/>
      <c r="B7" s="108" t="s">
        <v>504</v>
      </c>
      <c r="C7" s="108" t="s">
        <v>504</v>
      </c>
      <c r="D7" s="105"/>
      <c r="E7" s="158"/>
      <c r="F7" s="108" t="s">
        <v>504</v>
      </c>
      <c r="G7" s="108" t="s">
        <v>504</v>
      </c>
      <c r="H7" s="105"/>
      <c r="I7" s="158"/>
      <c r="J7" s="108" t="s">
        <v>504</v>
      </c>
      <c r="K7" s="108" t="s">
        <v>504</v>
      </c>
      <c r="L7" s="106"/>
    </row>
    <row r="8" spans="1:12" x14ac:dyDescent="0.25">
      <c r="A8" s="109" t="s">
        <v>385</v>
      </c>
      <c r="B8" s="110" t="s">
        <v>386</v>
      </c>
      <c r="C8" s="110" t="s">
        <v>387</v>
      </c>
      <c r="D8" s="111"/>
      <c r="E8" s="162" t="s">
        <v>388</v>
      </c>
      <c r="F8" s="162"/>
      <c r="G8" s="162"/>
      <c r="H8" s="105"/>
      <c r="I8" s="112" t="s">
        <v>389</v>
      </c>
      <c r="J8" s="113" t="s">
        <v>390</v>
      </c>
      <c r="K8" s="114" t="s">
        <v>391</v>
      </c>
      <c r="L8" s="106"/>
    </row>
    <row r="9" spans="1:12" x14ac:dyDescent="0.25">
      <c r="A9" s="109" t="s">
        <v>311</v>
      </c>
      <c r="B9" s="110" t="s">
        <v>392</v>
      </c>
      <c r="C9" s="110" t="s">
        <v>393</v>
      </c>
      <c r="D9" s="111"/>
      <c r="E9" s="115" t="s">
        <v>64</v>
      </c>
      <c r="F9" s="116" t="s">
        <v>394</v>
      </c>
      <c r="G9" s="117" t="s">
        <v>395</v>
      </c>
      <c r="H9" s="105"/>
      <c r="I9" s="112" t="s">
        <v>396</v>
      </c>
      <c r="J9" s="113" t="s">
        <v>397</v>
      </c>
      <c r="K9" s="114" t="s">
        <v>398</v>
      </c>
      <c r="L9" s="106"/>
    </row>
    <row r="10" spans="1:12" x14ac:dyDescent="0.25">
      <c r="A10" s="109" t="s">
        <v>326</v>
      </c>
      <c r="B10" s="110" t="s">
        <v>399</v>
      </c>
      <c r="C10" s="110" t="s">
        <v>400</v>
      </c>
      <c r="D10" s="111"/>
      <c r="E10" s="115" t="s">
        <v>103</v>
      </c>
      <c r="F10" s="116" t="s">
        <v>401</v>
      </c>
      <c r="G10" s="117" t="s">
        <v>402</v>
      </c>
      <c r="H10" s="105"/>
      <c r="I10" s="112" t="s">
        <v>403</v>
      </c>
      <c r="J10" s="113" t="s">
        <v>404</v>
      </c>
      <c r="K10" s="114" t="s">
        <v>405</v>
      </c>
      <c r="L10" s="106"/>
    </row>
    <row r="11" spans="1:12" x14ac:dyDescent="0.25">
      <c r="A11" s="109" t="s">
        <v>341</v>
      </c>
      <c r="B11" s="110" t="s">
        <v>406</v>
      </c>
      <c r="C11" s="110" t="s">
        <v>407</v>
      </c>
      <c r="D11" s="111"/>
      <c r="E11" s="115" t="s">
        <v>54</v>
      </c>
      <c r="F11" s="116" t="s">
        <v>408</v>
      </c>
      <c r="G11" s="117" t="s">
        <v>409</v>
      </c>
      <c r="H11" s="105"/>
      <c r="I11" s="112" t="s">
        <v>410</v>
      </c>
      <c r="J11" s="113" t="s">
        <v>411</v>
      </c>
      <c r="K11" s="114" t="s">
        <v>405</v>
      </c>
      <c r="L11" s="106"/>
    </row>
    <row r="12" spans="1:12" x14ac:dyDescent="0.25">
      <c r="A12" s="109" t="s">
        <v>354</v>
      </c>
      <c r="B12" s="110" t="s">
        <v>412</v>
      </c>
      <c r="C12" s="110" t="s">
        <v>413</v>
      </c>
      <c r="D12" s="111"/>
      <c r="E12" s="115" t="s">
        <v>68</v>
      </c>
      <c r="F12" s="116" t="s">
        <v>414</v>
      </c>
      <c r="G12" s="117" t="s">
        <v>415</v>
      </c>
      <c r="H12" s="105"/>
      <c r="I12" s="112" t="s">
        <v>416</v>
      </c>
      <c r="J12" s="113" t="s">
        <v>417</v>
      </c>
      <c r="K12" s="114" t="s">
        <v>418</v>
      </c>
      <c r="L12" s="106"/>
    </row>
    <row r="13" spans="1:12" ht="15.75" thickBot="1" x14ac:dyDescent="0.3">
      <c r="A13" s="118" t="s">
        <v>368</v>
      </c>
      <c r="B13" s="119" t="s">
        <v>419</v>
      </c>
      <c r="C13" s="119" t="s">
        <v>420</v>
      </c>
      <c r="D13" s="111"/>
      <c r="E13" s="120" t="s">
        <v>96</v>
      </c>
      <c r="F13" s="121" t="s">
        <v>421</v>
      </c>
      <c r="G13" s="122" t="s">
        <v>422</v>
      </c>
      <c r="H13" s="105"/>
      <c r="I13" s="123" t="s">
        <v>423</v>
      </c>
      <c r="J13" s="124" t="s">
        <v>424</v>
      </c>
      <c r="K13" s="125" t="s">
        <v>425</v>
      </c>
      <c r="L13" s="106"/>
    </row>
    <row r="14" spans="1:12" x14ac:dyDescent="0.25">
      <c r="A14" s="105"/>
      <c r="B14" s="105"/>
      <c r="C14" s="105"/>
      <c r="D14" s="111"/>
      <c r="E14" s="163" t="s">
        <v>426</v>
      </c>
      <c r="F14" s="163"/>
      <c r="G14" s="163"/>
      <c r="H14" s="105"/>
      <c r="I14" s="105"/>
      <c r="J14" s="105"/>
      <c r="K14" s="105"/>
      <c r="L14" s="106"/>
    </row>
    <row r="15" spans="1:12" x14ac:dyDescent="0.25">
      <c r="A15" s="105" t="s">
        <v>450</v>
      </c>
      <c r="B15" s="105"/>
      <c r="C15" s="105"/>
      <c r="D15" s="111"/>
      <c r="E15" s="126" t="s">
        <v>64</v>
      </c>
      <c r="F15" s="113" t="s">
        <v>427</v>
      </c>
      <c r="G15" s="127" t="s">
        <v>428</v>
      </c>
      <c r="H15" s="105"/>
      <c r="I15" s="128" t="s">
        <v>471</v>
      </c>
      <c r="J15" s="128"/>
      <c r="K15" s="128"/>
      <c r="L15" s="106"/>
    </row>
    <row r="16" spans="1:12" x14ac:dyDescent="0.25">
      <c r="A16" s="105" t="s">
        <v>473</v>
      </c>
      <c r="B16" s="105"/>
      <c r="C16" s="105"/>
      <c r="D16" s="105"/>
      <c r="E16" s="126" t="s">
        <v>103</v>
      </c>
      <c r="F16" s="113" t="s">
        <v>429</v>
      </c>
      <c r="G16" s="127" t="s">
        <v>430</v>
      </c>
      <c r="H16" s="105"/>
      <c r="I16" s="128" t="s">
        <v>472</v>
      </c>
      <c r="J16" s="128"/>
      <c r="K16" s="128"/>
      <c r="L16" s="106"/>
    </row>
    <row r="17" spans="1:12" x14ac:dyDescent="0.25">
      <c r="A17" s="105"/>
      <c r="B17" s="105"/>
      <c r="C17" s="105"/>
      <c r="D17" s="105"/>
      <c r="E17" s="126" t="s">
        <v>54</v>
      </c>
      <c r="F17" s="113" t="s">
        <v>431</v>
      </c>
      <c r="G17" s="127" t="s">
        <v>428</v>
      </c>
      <c r="H17" s="105"/>
      <c r="I17" s="128" t="s">
        <v>477</v>
      </c>
      <c r="J17" s="128"/>
      <c r="K17" s="128"/>
      <c r="L17" s="106"/>
    </row>
    <row r="18" spans="1:12" x14ac:dyDescent="0.25">
      <c r="A18" s="105"/>
      <c r="B18" s="105"/>
      <c r="C18" s="105"/>
      <c r="D18" s="105"/>
      <c r="E18" s="126" t="s">
        <v>68</v>
      </c>
      <c r="F18" s="113" t="s">
        <v>432</v>
      </c>
      <c r="G18" s="127" t="s">
        <v>433</v>
      </c>
      <c r="H18" s="105"/>
      <c r="I18" s="139" t="s">
        <v>509</v>
      </c>
      <c r="J18" s="128"/>
      <c r="K18" s="128"/>
      <c r="L18" s="106"/>
    </row>
    <row r="19" spans="1:12" x14ac:dyDescent="0.25">
      <c r="A19" s="105"/>
      <c r="B19" s="105"/>
      <c r="C19" s="105"/>
      <c r="D19" s="105"/>
      <c r="E19" s="129" t="s">
        <v>96</v>
      </c>
      <c r="F19" s="130" t="s">
        <v>434</v>
      </c>
      <c r="G19" s="131" t="s">
        <v>435</v>
      </c>
      <c r="H19" s="105"/>
      <c r="I19" s="106"/>
      <c r="J19" s="106"/>
      <c r="K19" s="106"/>
      <c r="L19" s="106"/>
    </row>
    <row r="20" spans="1:12" x14ac:dyDescent="0.25">
      <c r="A20" s="105"/>
      <c r="B20" s="105"/>
      <c r="C20" s="105"/>
      <c r="D20" s="105"/>
      <c r="E20" s="163" t="s">
        <v>436</v>
      </c>
      <c r="F20" s="163"/>
      <c r="G20" s="163"/>
      <c r="H20" s="105"/>
      <c r="I20" s="106"/>
      <c r="J20" s="106"/>
      <c r="K20" s="106"/>
      <c r="L20" s="106"/>
    </row>
    <row r="21" spans="1:12" x14ac:dyDescent="0.25">
      <c r="A21" s="105"/>
      <c r="B21" s="105"/>
      <c r="C21" s="105"/>
      <c r="D21" s="105"/>
      <c r="E21" s="115" t="s">
        <v>64</v>
      </c>
      <c r="F21" s="116" t="s">
        <v>437</v>
      </c>
      <c r="G21" s="117" t="s">
        <v>438</v>
      </c>
      <c r="H21" s="105"/>
      <c r="I21" s="106"/>
      <c r="J21" s="106"/>
      <c r="K21" s="106"/>
      <c r="L21" s="106"/>
    </row>
    <row r="22" spans="1:12" x14ac:dyDescent="0.25">
      <c r="A22" s="105"/>
      <c r="B22" s="105"/>
      <c r="C22" s="105"/>
      <c r="D22" s="105"/>
      <c r="E22" s="115" t="s">
        <v>103</v>
      </c>
      <c r="F22" s="116" t="s">
        <v>439</v>
      </c>
      <c r="G22" s="117" t="s">
        <v>440</v>
      </c>
      <c r="H22" s="105"/>
      <c r="I22" s="106"/>
      <c r="J22" s="106"/>
      <c r="K22" s="106"/>
      <c r="L22" s="106"/>
    </row>
    <row r="23" spans="1:12" x14ac:dyDescent="0.25">
      <c r="A23" s="105"/>
      <c r="B23" s="105"/>
      <c r="C23" s="105"/>
      <c r="D23" s="105"/>
      <c r="E23" s="115" t="s">
        <v>54</v>
      </c>
      <c r="F23" s="116" t="s">
        <v>441</v>
      </c>
      <c r="G23" s="117" t="s">
        <v>442</v>
      </c>
      <c r="H23" s="105"/>
      <c r="I23" s="106"/>
      <c r="J23" s="106"/>
      <c r="K23" s="106"/>
      <c r="L23" s="106"/>
    </row>
    <row r="24" spans="1:12" x14ac:dyDescent="0.25">
      <c r="A24" s="105"/>
      <c r="B24" s="105"/>
      <c r="C24" s="105"/>
      <c r="D24" s="105"/>
      <c r="E24" s="115" t="s">
        <v>68</v>
      </c>
      <c r="F24" s="116" t="s">
        <v>443</v>
      </c>
      <c r="G24" s="117" t="s">
        <v>444</v>
      </c>
      <c r="H24" s="105"/>
      <c r="I24" s="106"/>
      <c r="J24" s="106"/>
      <c r="K24" s="106"/>
      <c r="L24" s="106"/>
    </row>
    <row r="25" spans="1:12" ht="15.75" thickBot="1" x14ac:dyDescent="0.3">
      <c r="A25" s="105"/>
      <c r="B25" s="105"/>
      <c r="C25" s="105"/>
      <c r="D25" s="105"/>
      <c r="E25" s="132" t="s">
        <v>96</v>
      </c>
      <c r="F25" s="133" t="s">
        <v>445</v>
      </c>
      <c r="G25" s="134" t="s">
        <v>446</v>
      </c>
      <c r="H25" s="105"/>
      <c r="I25" s="106"/>
      <c r="J25" s="106"/>
      <c r="K25" s="106"/>
      <c r="L25" s="106"/>
    </row>
    <row r="26" spans="1:12" x14ac:dyDescent="0.25">
      <c r="A26" s="105"/>
      <c r="B26" s="105"/>
      <c r="C26" s="105"/>
      <c r="D26" s="105"/>
      <c r="E26" s="105"/>
      <c r="F26" s="105"/>
      <c r="G26" s="105"/>
      <c r="H26" s="105"/>
      <c r="I26" s="106"/>
      <c r="J26" s="106"/>
      <c r="K26" s="106"/>
      <c r="L26" s="106"/>
    </row>
    <row r="27" spans="1:12" x14ac:dyDescent="0.25">
      <c r="A27" s="105"/>
      <c r="B27" s="105"/>
      <c r="C27" s="105"/>
      <c r="D27" s="105"/>
      <c r="E27" s="105" t="s">
        <v>451</v>
      </c>
      <c r="F27" s="105"/>
      <c r="G27" s="105"/>
      <c r="H27" s="105"/>
      <c r="I27" s="106"/>
      <c r="J27" s="106"/>
      <c r="K27" s="106"/>
      <c r="L27" s="106"/>
    </row>
    <row r="28" spans="1:12" x14ac:dyDescent="0.25">
      <c r="A28" s="105"/>
      <c r="B28" s="105"/>
      <c r="C28" s="105"/>
      <c r="D28" s="105"/>
      <c r="E28" s="105" t="s">
        <v>452</v>
      </c>
      <c r="F28" s="105"/>
      <c r="G28" s="105"/>
      <c r="H28" s="105"/>
      <c r="I28" s="106"/>
      <c r="J28" s="106"/>
      <c r="K28" s="106"/>
      <c r="L28" s="106"/>
    </row>
    <row r="29" spans="1:12" x14ac:dyDescent="0.25">
      <c r="A29" s="105"/>
      <c r="B29" s="105"/>
      <c r="C29" s="105"/>
      <c r="D29" s="105"/>
      <c r="E29" s="105"/>
      <c r="F29" s="105"/>
      <c r="G29" s="105"/>
      <c r="H29" s="105"/>
      <c r="I29" s="106"/>
      <c r="J29" s="106"/>
      <c r="K29" s="106"/>
      <c r="L29" s="106"/>
    </row>
    <row r="30" spans="1:12" x14ac:dyDescent="0.25">
      <c r="A30" s="105"/>
      <c r="B30" s="105"/>
      <c r="C30" s="105"/>
      <c r="D30" s="105"/>
      <c r="E30" s="105"/>
      <c r="F30" s="105"/>
      <c r="G30" s="105"/>
      <c r="H30" s="105"/>
      <c r="I30" s="106"/>
      <c r="J30" s="106"/>
      <c r="K30" s="106"/>
      <c r="L30" s="106"/>
    </row>
    <row r="31" spans="1:12" x14ac:dyDescent="0.25">
      <c r="A31" s="105"/>
      <c r="B31" s="105"/>
      <c r="C31" s="105"/>
      <c r="D31" s="105"/>
      <c r="E31" s="105"/>
      <c r="F31" s="105"/>
      <c r="G31" s="105"/>
      <c r="H31" s="105"/>
      <c r="I31" s="106"/>
      <c r="J31" s="106"/>
      <c r="K31" s="106"/>
      <c r="L31" s="106"/>
    </row>
    <row r="32" spans="1:12" x14ac:dyDescent="0.25">
      <c r="A32" s="105"/>
      <c r="B32" s="105"/>
      <c r="C32" s="105"/>
      <c r="D32" s="105"/>
      <c r="E32" s="105"/>
      <c r="F32" s="105"/>
      <c r="G32" s="105"/>
      <c r="H32" s="105"/>
      <c r="I32" s="106"/>
      <c r="J32" s="106"/>
      <c r="K32" s="106"/>
      <c r="L32" s="106"/>
    </row>
    <row r="33" spans="1:12" x14ac:dyDescent="0.25">
      <c r="A33" s="105"/>
      <c r="B33" s="105"/>
      <c r="C33" s="105"/>
      <c r="D33" s="105"/>
      <c r="E33" s="105"/>
      <c r="F33" s="105"/>
      <c r="G33" s="105"/>
      <c r="H33" s="105"/>
      <c r="I33" s="106"/>
      <c r="J33" s="106"/>
      <c r="K33" s="106"/>
      <c r="L33" s="106"/>
    </row>
    <row r="34" spans="1:12" x14ac:dyDescent="0.25">
      <c r="A34" s="17"/>
      <c r="B34" s="18"/>
      <c r="C34" s="16"/>
      <c r="D34" s="16"/>
      <c r="E34" s="16"/>
      <c r="F34" s="16"/>
      <c r="G34" s="16"/>
      <c r="H34" s="16"/>
    </row>
  </sheetData>
  <mergeCells count="9">
    <mergeCell ref="A5:C5"/>
    <mergeCell ref="A6:A7"/>
    <mergeCell ref="E6:E7"/>
    <mergeCell ref="I6:I7"/>
    <mergeCell ref="I5:K5"/>
    <mergeCell ref="E8:G8"/>
    <mergeCell ref="E14:G14"/>
    <mergeCell ref="E20:G20"/>
    <mergeCell ref="E5:G5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Title</vt:lpstr>
      <vt:lpstr>Supplementary Table 1</vt:lpstr>
      <vt:lpstr>Supplementary Table 2</vt:lpstr>
      <vt:lpstr>Supplementary Table 3</vt:lpstr>
      <vt:lpstr>Supplementary Table 4</vt:lpstr>
      <vt:lpstr>Title!_Hlk204256747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Borovicka Jan GEO</dc:creator>
  <cp:lastModifiedBy>Jan Borovička</cp:lastModifiedBy>
  <dcterms:created xsi:type="dcterms:W3CDTF">2015-06-05T18:19:34Z</dcterms:created>
  <dcterms:modified xsi:type="dcterms:W3CDTF">2026-03-25T10:21:40Z</dcterms:modified>
</cp:coreProperties>
</file>