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26\Desktop\修回\补充材料\"/>
    </mc:Choice>
  </mc:AlternateContent>
  <xr:revisionPtr revIDLastSave="0" documentId="13_ncr:1_{F09471A7-D1EB-42C1-A64B-0BBBFD50AA6F}" xr6:coauthVersionLast="47" xr6:coauthVersionMax="47" xr10:uidLastSave="{00000000-0000-0000-0000-000000000000}"/>
  <bookViews>
    <workbookView xWindow="-98" yWindow="-98" windowWidth="21795" windowHeight="13875" xr2:uid="{5A7CD818-B06A-4C89-9C6C-1FA4A896DF91}"/>
  </bookViews>
  <sheets>
    <sheet name="Figure1" sheetId="3" r:id="rId1"/>
    <sheet name="Figure2" sheetId="4" r:id="rId2"/>
    <sheet name="Figure3" sheetId="5" r:id="rId3"/>
    <sheet name="Figure4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9" i="6" l="1"/>
  <c r="E118" i="5"/>
  <c r="E39" i="4"/>
  <c r="E65" i="6"/>
  <c r="E61" i="6"/>
  <c r="E122" i="5"/>
  <c r="E114" i="5"/>
  <c r="E47" i="4"/>
  <c r="E43" i="4"/>
  <c r="E76" i="3"/>
  <c r="E72" i="3"/>
  <c r="E68" i="3"/>
  <c r="E18" i="5"/>
  <c r="E14" i="5"/>
  <c r="E2" i="5"/>
  <c r="E52" i="3"/>
  <c r="E51" i="3"/>
  <c r="E50" i="3"/>
  <c r="E48" i="3"/>
  <c r="E47" i="3"/>
  <c r="E46" i="3"/>
  <c r="E44" i="3"/>
  <c r="E43" i="3"/>
  <c r="E42" i="3"/>
  <c r="E40" i="3"/>
  <c r="E39" i="3"/>
  <c r="E38" i="3"/>
  <c r="E36" i="6"/>
  <c r="E33" i="6"/>
  <c r="E32" i="6"/>
  <c r="E31" i="6"/>
  <c r="E29" i="6"/>
  <c r="E28" i="6"/>
  <c r="E27" i="6"/>
  <c r="E25" i="6"/>
  <c r="E24" i="6"/>
  <c r="E23" i="6"/>
  <c r="E21" i="6"/>
  <c r="E20" i="6"/>
  <c r="E19" i="6"/>
  <c r="E17" i="6"/>
  <c r="E16" i="6"/>
  <c r="E15" i="6"/>
  <c r="E13" i="6"/>
  <c r="E12" i="6"/>
  <c r="E11" i="6"/>
  <c r="E9" i="6"/>
  <c r="E8" i="6"/>
  <c r="E7" i="6"/>
  <c r="E5" i="6"/>
  <c r="E4" i="6"/>
  <c r="E3" i="6"/>
  <c r="E86" i="5"/>
  <c r="E85" i="5"/>
  <c r="E84" i="5"/>
  <c r="E81" i="5"/>
  <c r="E80" i="5"/>
  <c r="E79" i="5"/>
  <c r="E76" i="5"/>
  <c r="E75" i="5"/>
  <c r="E74" i="5"/>
  <c r="E71" i="5"/>
  <c r="E70" i="5"/>
  <c r="E69" i="5"/>
  <c r="E66" i="5"/>
  <c r="E65" i="5"/>
  <c r="E64" i="5"/>
  <c r="E61" i="5"/>
  <c r="E60" i="5"/>
  <c r="E59" i="5"/>
  <c r="E56" i="5"/>
  <c r="E55" i="5"/>
  <c r="E54" i="5"/>
  <c r="E51" i="5"/>
  <c r="E50" i="5"/>
  <c r="E49" i="5"/>
  <c r="E89" i="5"/>
  <c r="E93" i="5"/>
  <c r="E97" i="5"/>
  <c r="E56" i="6"/>
  <c r="E52" i="6"/>
  <c r="E48" i="6"/>
  <c r="E44" i="6"/>
  <c r="E40" i="6"/>
  <c r="E109" i="5"/>
  <c r="E105" i="5"/>
  <c r="E101" i="5"/>
  <c r="E44" i="5"/>
  <c r="E40" i="5"/>
  <c r="E36" i="5"/>
  <c r="E31" i="5"/>
  <c r="E27" i="5"/>
  <c r="E23" i="5"/>
  <c r="E12" i="5"/>
  <c r="E11" i="5"/>
  <c r="E10" i="5"/>
  <c r="E6" i="5"/>
  <c r="E34" i="4"/>
  <c r="E30" i="4"/>
  <c r="E26" i="4"/>
  <c r="E11" i="4"/>
  <c r="E7" i="4"/>
  <c r="E63" i="3"/>
  <c r="E59" i="3"/>
  <c r="E55" i="3"/>
  <c r="E34" i="3"/>
  <c r="E30" i="3"/>
  <c r="E26" i="3"/>
  <c r="E22" i="3"/>
  <c r="E18" i="3"/>
  <c r="E14" i="3"/>
  <c r="E12" i="3"/>
  <c r="E11" i="3"/>
  <c r="E10" i="3"/>
</calcChain>
</file>

<file path=xl/sharedStrings.xml><?xml version="1.0" encoding="utf-8"?>
<sst xmlns="http://schemas.openxmlformats.org/spreadsheetml/2006/main" count="416" uniqueCount="97">
  <si>
    <t>Figure3A</t>
    <phoneticPr fontId="2" type="noConversion"/>
  </si>
  <si>
    <t>Figure4C</t>
    <phoneticPr fontId="2" type="noConversion"/>
  </si>
  <si>
    <t>η²</t>
    <phoneticPr fontId="2" type="noConversion"/>
  </si>
  <si>
    <t>ηp²,group</t>
    <phoneticPr fontId="2" type="noConversion"/>
  </si>
  <si>
    <t>ηp²,ZT</t>
    <phoneticPr fontId="2" type="noConversion"/>
  </si>
  <si>
    <t>ηp²,Interaction</t>
    <phoneticPr fontId="2" type="noConversion"/>
  </si>
  <si>
    <t>Tnf</t>
    <phoneticPr fontId="2" type="noConversion"/>
  </si>
  <si>
    <t>Il1b</t>
    <phoneticPr fontId="2" type="noConversion"/>
  </si>
  <si>
    <t>Il6</t>
  </si>
  <si>
    <t>Il6</t>
    <phoneticPr fontId="2" type="noConversion"/>
  </si>
  <si>
    <t>Figure 2A</t>
    <phoneticPr fontId="2" type="noConversion"/>
  </si>
  <si>
    <t>Figure 2B</t>
    <phoneticPr fontId="2" type="noConversion"/>
  </si>
  <si>
    <t>Figure 2C</t>
    <phoneticPr fontId="2" type="noConversion"/>
  </si>
  <si>
    <t>Figure 2D</t>
    <phoneticPr fontId="2" type="noConversion"/>
  </si>
  <si>
    <t>Figure 2E</t>
    <phoneticPr fontId="2" type="noConversion"/>
  </si>
  <si>
    <t>Figure 2F</t>
    <phoneticPr fontId="2" type="noConversion"/>
  </si>
  <si>
    <t>ε²</t>
  </si>
  <si>
    <t>Cramer's V</t>
  </si>
  <si>
    <t>Nlrp3</t>
    <phoneticPr fontId="2" type="noConversion"/>
  </si>
  <si>
    <t>Figure3B</t>
    <phoneticPr fontId="2" type="noConversion"/>
  </si>
  <si>
    <t>Figure3C</t>
    <phoneticPr fontId="2" type="noConversion"/>
  </si>
  <si>
    <t>Figure3E</t>
    <phoneticPr fontId="2" type="noConversion"/>
  </si>
  <si>
    <t>Figure3M</t>
    <phoneticPr fontId="2" type="noConversion"/>
  </si>
  <si>
    <t>Dec</t>
    <phoneticPr fontId="2" type="noConversion"/>
  </si>
  <si>
    <t>Jz</t>
    <phoneticPr fontId="2" type="noConversion"/>
  </si>
  <si>
    <t>Lab</t>
    <phoneticPr fontId="2" type="noConversion"/>
  </si>
  <si>
    <t>sFlt1</t>
  </si>
  <si>
    <t>Mmp2</t>
  </si>
  <si>
    <t>Col9a1</t>
  </si>
  <si>
    <t>Pgr</t>
  </si>
  <si>
    <t>Rora</t>
    <phoneticPr fontId="2" type="noConversion"/>
  </si>
  <si>
    <t>Rorb</t>
    <phoneticPr fontId="2" type="noConversion"/>
  </si>
  <si>
    <t>Clock</t>
    <phoneticPr fontId="2" type="noConversion"/>
  </si>
  <si>
    <t>Bmal1</t>
    <phoneticPr fontId="2" type="noConversion"/>
  </si>
  <si>
    <t>Per1</t>
    <phoneticPr fontId="2" type="noConversion"/>
  </si>
  <si>
    <t>Per2</t>
    <phoneticPr fontId="2" type="noConversion"/>
  </si>
  <si>
    <t>Cry1</t>
    <phoneticPr fontId="2" type="noConversion"/>
  </si>
  <si>
    <t>Cry2</t>
    <phoneticPr fontId="2" type="noConversion"/>
  </si>
  <si>
    <t>Figure4D</t>
    <phoneticPr fontId="2" type="noConversion"/>
  </si>
  <si>
    <t>Aox4</t>
    <phoneticPr fontId="2" type="noConversion"/>
  </si>
  <si>
    <t>Adipoq</t>
    <phoneticPr fontId="2" type="noConversion"/>
  </si>
  <si>
    <t>Lep</t>
    <phoneticPr fontId="2" type="noConversion"/>
  </si>
  <si>
    <t>Slc2a2</t>
    <phoneticPr fontId="2" type="noConversion"/>
  </si>
  <si>
    <t>Figure 1B</t>
    <phoneticPr fontId="2" type="noConversion"/>
  </si>
  <si>
    <t>Figure 1C</t>
    <phoneticPr fontId="2" type="noConversion"/>
  </si>
  <si>
    <t>Figure 1D</t>
    <phoneticPr fontId="2" type="noConversion"/>
  </si>
  <si>
    <t>Figure 1E</t>
    <phoneticPr fontId="2" type="noConversion"/>
  </si>
  <si>
    <t>Figure 1F</t>
    <phoneticPr fontId="2" type="noConversion"/>
  </si>
  <si>
    <t>Figure 1G</t>
    <phoneticPr fontId="2" type="noConversion"/>
  </si>
  <si>
    <t>Figure 1H</t>
    <phoneticPr fontId="2" type="noConversion"/>
  </si>
  <si>
    <t>Figure 1I</t>
    <phoneticPr fontId="2" type="noConversion"/>
  </si>
  <si>
    <t>Figure 1J</t>
    <phoneticPr fontId="2" type="noConversion"/>
  </si>
  <si>
    <t>Figure 1K</t>
    <phoneticPr fontId="2" type="noConversion"/>
  </si>
  <si>
    <t>Figure 1L</t>
    <phoneticPr fontId="2" type="noConversion"/>
  </si>
  <si>
    <t>Figure 1M</t>
    <phoneticPr fontId="2" type="noConversion"/>
  </si>
  <si>
    <t>Figure 1N</t>
    <phoneticPr fontId="2" type="noConversion"/>
  </si>
  <si>
    <t>Figure 1O</t>
    <phoneticPr fontId="2" type="noConversion"/>
  </si>
  <si>
    <t>P value</t>
    <phoneticPr fontId="2" type="noConversion"/>
  </si>
  <si>
    <t>ZT18 Control vs. L-ALAN</t>
    <phoneticPr fontId="2" type="noConversion"/>
  </si>
  <si>
    <t xml:space="preserve">Tnf </t>
  </si>
  <si>
    <t xml:space="preserve">Tnf </t>
    <phoneticPr fontId="2" type="noConversion"/>
  </si>
  <si>
    <r>
      <t xml:space="preserve">ZT18 L-ALAN vs. </t>
    </r>
    <r>
      <rPr>
        <sz val="10"/>
        <rFont val="Arial"/>
        <family val="2"/>
      </rPr>
      <t>L-ALAN+MT</t>
    </r>
    <phoneticPr fontId="2" type="noConversion"/>
  </si>
  <si>
    <t>Row Factor</t>
  </si>
  <si>
    <t>Column Factor</t>
  </si>
  <si>
    <t>Row Factor x Column Factor</t>
  </si>
  <si>
    <t>&lt;0.0001</t>
  </si>
  <si>
    <t>Control vs. L-ALAN</t>
  </si>
  <si>
    <t>L-ALAN vs. L-ALAN+MT</t>
  </si>
  <si>
    <t>Control vs. L-ALAN+MT</t>
  </si>
  <si>
    <t>all time point &gt; 0.05</t>
    <phoneticPr fontId="2" type="noConversion"/>
  </si>
  <si>
    <t>ZT18 L-ALAN vs. L-ALAN+MT</t>
    <phoneticPr fontId="2" type="noConversion"/>
  </si>
  <si>
    <t>Effect size</t>
    <phoneticPr fontId="2" type="noConversion"/>
  </si>
  <si>
    <t xml:space="preserve"> η²</t>
    <phoneticPr fontId="2" type="noConversion"/>
  </si>
  <si>
    <t xml:space="preserve">Dec </t>
    <phoneticPr fontId="2" type="noConversion"/>
  </si>
  <si>
    <t xml:space="preserve">Il1b </t>
    <phoneticPr fontId="2" type="noConversion"/>
  </si>
  <si>
    <t xml:space="preserve">Il6 </t>
    <phoneticPr fontId="2" type="noConversion"/>
  </si>
  <si>
    <t>ZT12 Control vs. L-ALAN</t>
    <phoneticPr fontId="2" type="noConversion"/>
  </si>
  <si>
    <r>
      <t xml:space="preserve">ZT12 L-ALAN vs. </t>
    </r>
    <r>
      <rPr>
        <sz val="10"/>
        <rFont val="Arial"/>
        <family val="2"/>
      </rPr>
      <t>L-ALAN+MT</t>
    </r>
    <phoneticPr fontId="2" type="noConversion"/>
  </si>
  <si>
    <t>ZT0/24 Control vs. L-ALAN</t>
    <phoneticPr fontId="2" type="noConversion"/>
  </si>
  <si>
    <r>
      <t xml:space="preserve">ZT0/24 L-ALAN vs. </t>
    </r>
    <r>
      <rPr>
        <sz val="10"/>
        <rFont val="Arial"/>
        <family val="2"/>
      </rPr>
      <t>L-ALAN+MT</t>
    </r>
    <phoneticPr fontId="2" type="noConversion"/>
  </si>
  <si>
    <t>ZT6 Control vs. L-ALAN</t>
    <phoneticPr fontId="2" type="noConversion"/>
  </si>
  <si>
    <r>
      <t xml:space="preserve">ZT6 L-ALAN vs. </t>
    </r>
    <r>
      <rPr>
        <sz val="10"/>
        <rFont val="Arial"/>
        <family val="2"/>
      </rPr>
      <t>L-ALAN+MT</t>
    </r>
    <phoneticPr fontId="2" type="noConversion"/>
  </si>
  <si>
    <t>Control vs. L-ALAN</t>
    <phoneticPr fontId="2" type="noConversion"/>
  </si>
  <si>
    <t>Control vs. L-ALAN+MT</t>
    <phoneticPr fontId="2" type="noConversion"/>
  </si>
  <si>
    <t>L-ALAN vs. L-ALAN+MT</t>
    <phoneticPr fontId="2" type="noConversion"/>
  </si>
  <si>
    <t>Figure3F</t>
    <phoneticPr fontId="2" type="noConversion"/>
  </si>
  <si>
    <t>&gt;0.9999</t>
  </si>
  <si>
    <t>Figure 1P</t>
    <phoneticPr fontId="2" type="noConversion"/>
  </si>
  <si>
    <t>Figure 2G</t>
    <phoneticPr fontId="2" type="noConversion"/>
  </si>
  <si>
    <t>TNF-α</t>
    <phoneticPr fontId="2" type="noConversion"/>
  </si>
  <si>
    <t>IL-1β</t>
    <phoneticPr fontId="2" type="noConversion"/>
  </si>
  <si>
    <t>IL-6</t>
    <phoneticPr fontId="2" type="noConversion"/>
  </si>
  <si>
    <t>Figure3H</t>
    <phoneticPr fontId="2" type="noConversion"/>
  </si>
  <si>
    <t>Figure3J</t>
    <phoneticPr fontId="2" type="noConversion"/>
  </si>
  <si>
    <t>Figure3N</t>
    <phoneticPr fontId="2" type="noConversion"/>
  </si>
  <si>
    <t>Figure3O</t>
    <phoneticPr fontId="2" type="noConversion"/>
  </si>
  <si>
    <t>Figure4E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</si>
</sst>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1"/>
      <color rgb="FFFF0000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6" fillId="0" borderId="3" xfId="0" applyFont="1" applyBorder="1">
      <alignment vertical="center"/>
    </xf>
    <xf numFmtId="0" fontId="0" fillId="2" borderId="1" xfId="0" applyFill="1" applyBorder="1">
      <alignment vertic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FBE3-3C8F-49F8-A3A0-AF20BCC3D69C}">
  <dimension ref="A1:F78"/>
  <sheetViews>
    <sheetView tabSelected="1" zoomScaleNormal="100" workbookViewId="0">
      <selection activeCell="H11" sqref="H11"/>
    </sheetView>
  </sheetViews>
  <sheetFormatPr defaultRowHeight="13.9" x14ac:dyDescent="0.4"/>
  <cols>
    <col min="1" max="1" width="17.19921875" customWidth="1"/>
    <col min="2" max="2" width="23.46484375" customWidth="1"/>
    <col min="4" max="4" width="15.59765625" customWidth="1"/>
    <col min="5" max="5" width="13.19921875" customWidth="1"/>
  </cols>
  <sheetData>
    <row r="1" spans="1:5" x14ac:dyDescent="0.4">
      <c r="A1" s="14"/>
      <c r="B1" s="30" t="s">
        <v>57</v>
      </c>
      <c r="C1" s="31"/>
      <c r="D1" s="30" t="s">
        <v>71</v>
      </c>
      <c r="E1" s="31"/>
    </row>
    <row r="2" spans="1:5" x14ac:dyDescent="0.35">
      <c r="A2" s="15" t="s">
        <v>43</v>
      </c>
      <c r="B2" s="7" t="s">
        <v>62</v>
      </c>
      <c r="C2" s="7" t="s">
        <v>65</v>
      </c>
      <c r="D2" s="6" t="s">
        <v>3</v>
      </c>
      <c r="E2" s="6">
        <v>0.38274653103550443</v>
      </c>
    </row>
    <row r="3" spans="1:5" x14ac:dyDescent="0.35">
      <c r="A3" s="16"/>
      <c r="B3" s="7" t="s">
        <v>63</v>
      </c>
      <c r="C3" s="7">
        <v>2.3999999999999998E-3</v>
      </c>
      <c r="D3" s="6" t="s">
        <v>4</v>
      </c>
      <c r="E3" s="6">
        <v>0.98082298020602732</v>
      </c>
    </row>
    <row r="4" spans="1:5" x14ac:dyDescent="0.35">
      <c r="A4" s="16"/>
      <c r="B4" s="7" t="s">
        <v>64</v>
      </c>
      <c r="C4" s="7" t="s">
        <v>65</v>
      </c>
      <c r="D4" s="6" t="s">
        <v>5</v>
      </c>
      <c r="E4" s="6">
        <v>0.23047118841078848</v>
      </c>
    </row>
    <row r="5" spans="1:5" x14ac:dyDescent="0.4">
      <c r="A5" s="14"/>
      <c r="B5" s="19"/>
      <c r="C5" s="19"/>
      <c r="D5" s="19"/>
      <c r="E5" s="19"/>
    </row>
    <row r="6" spans="1:5" x14ac:dyDescent="0.35">
      <c r="A6" s="17" t="s">
        <v>44</v>
      </c>
      <c r="B6" s="7" t="s">
        <v>66</v>
      </c>
      <c r="C6" s="23" t="s">
        <v>86</v>
      </c>
      <c r="D6" s="6" t="s">
        <v>2</v>
      </c>
      <c r="E6" s="6">
        <v>0</v>
      </c>
    </row>
    <row r="7" spans="1:5" x14ac:dyDescent="0.35">
      <c r="A7" s="17"/>
      <c r="B7" s="7" t="s">
        <v>68</v>
      </c>
      <c r="C7" s="23" t="s">
        <v>86</v>
      </c>
      <c r="D7" s="6"/>
      <c r="E7" s="6"/>
    </row>
    <row r="8" spans="1:5" x14ac:dyDescent="0.35">
      <c r="A8" s="17"/>
      <c r="B8" s="7" t="s">
        <v>67</v>
      </c>
      <c r="C8" s="23" t="s">
        <v>86</v>
      </c>
      <c r="D8" s="6"/>
      <c r="E8" s="6"/>
    </row>
    <row r="9" spans="1:5" x14ac:dyDescent="0.4">
      <c r="A9" s="14"/>
      <c r="B9" s="19"/>
      <c r="C9" s="6"/>
      <c r="D9" s="6"/>
      <c r="E9" s="6"/>
    </row>
    <row r="10" spans="1:5" x14ac:dyDescent="0.4">
      <c r="A10" s="17" t="s">
        <v>45</v>
      </c>
      <c r="B10" s="6" t="s">
        <v>58</v>
      </c>
      <c r="C10" s="6">
        <v>7.1999999999999998E-3</v>
      </c>
      <c r="D10" s="6" t="s">
        <v>3</v>
      </c>
      <c r="E10" s="6">
        <f>673.9/(673.9+6167)</f>
        <v>9.8510429914192579E-2</v>
      </c>
    </row>
    <row r="11" spans="1:5" x14ac:dyDescent="0.4">
      <c r="A11" s="14"/>
      <c r="B11" s="6" t="s">
        <v>61</v>
      </c>
      <c r="C11" s="6">
        <v>4.5999999999999999E-3</v>
      </c>
      <c r="D11" s="6" t="s">
        <v>4</v>
      </c>
      <c r="E11" s="6">
        <f>4777/(4777+6167)</f>
        <v>0.4364948830409357</v>
      </c>
    </row>
    <row r="12" spans="1:5" x14ac:dyDescent="0.4">
      <c r="A12" s="14"/>
      <c r="B12" s="19"/>
      <c r="C12" s="6"/>
      <c r="D12" s="6" t="s">
        <v>5</v>
      </c>
      <c r="E12" s="6">
        <f>6964/(6964+6167)</f>
        <v>0.53034803137613284</v>
      </c>
    </row>
    <row r="13" spans="1:5" x14ac:dyDescent="0.4">
      <c r="A13" s="14"/>
      <c r="B13" s="19"/>
      <c r="C13" s="6"/>
      <c r="D13" s="19"/>
      <c r="E13" s="19"/>
    </row>
    <row r="14" spans="1:5" x14ac:dyDescent="0.35">
      <c r="A14" s="17" t="s">
        <v>46</v>
      </c>
      <c r="B14" s="7" t="s">
        <v>66</v>
      </c>
      <c r="C14" s="7">
        <v>3.9899999999999998E-2</v>
      </c>
      <c r="D14" s="6" t="s">
        <v>2</v>
      </c>
      <c r="E14" s="6">
        <f>4648826099/22914329716</f>
        <v>0.20287855488759696</v>
      </c>
    </row>
    <row r="15" spans="1:5" x14ac:dyDescent="0.35">
      <c r="A15" s="14"/>
      <c r="B15" s="7" t="s">
        <v>68</v>
      </c>
      <c r="C15" s="7">
        <v>0.97319999999999995</v>
      </c>
      <c r="D15" s="19"/>
      <c r="E15" s="19"/>
    </row>
    <row r="16" spans="1:5" x14ac:dyDescent="0.35">
      <c r="A16" s="14"/>
      <c r="B16" s="7" t="s">
        <v>67</v>
      </c>
      <c r="C16" s="7">
        <v>2.07E-2</v>
      </c>
      <c r="D16" s="19"/>
      <c r="E16" s="19"/>
    </row>
    <row r="17" spans="1:5" x14ac:dyDescent="0.35">
      <c r="A17" s="14"/>
      <c r="B17" s="7"/>
      <c r="C17" s="7"/>
      <c r="D17" s="19"/>
      <c r="E17" s="19"/>
    </row>
    <row r="18" spans="1:5" x14ac:dyDescent="0.35">
      <c r="A18" s="17" t="s">
        <v>47</v>
      </c>
      <c r="B18" s="7" t="s">
        <v>66</v>
      </c>
      <c r="C18" s="7">
        <v>3.4099999999999998E-2</v>
      </c>
      <c r="D18" s="6" t="s">
        <v>2</v>
      </c>
      <c r="E18" s="6">
        <f>799.7/4725</f>
        <v>0.16924867724867726</v>
      </c>
    </row>
    <row r="19" spans="1:5" x14ac:dyDescent="0.35">
      <c r="A19" s="14"/>
      <c r="B19" s="7" t="s">
        <v>68</v>
      </c>
      <c r="C19" s="7">
        <v>0.99609999999999999</v>
      </c>
      <c r="D19" s="19"/>
      <c r="E19" s="19"/>
    </row>
    <row r="20" spans="1:5" x14ac:dyDescent="0.35">
      <c r="A20" s="14"/>
      <c r="B20" s="7" t="s">
        <v>67</v>
      </c>
      <c r="C20" s="7">
        <v>3.7699999999999997E-2</v>
      </c>
      <c r="D20" s="19"/>
      <c r="E20" s="19"/>
    </row>
    <row r="21" spans="1:5" x14ac:dyDescent="0.35">
      <c r="A21" s="14"/>
      <c r="B21" s="7"/>
      <c r="C21" s="7"/>
      <c r="D21" s="19"/>
      <c r="E21" s="19"/>
    </row>
    <row r="22" spans="1:5" x14ac:dyDescent="0.35">
      <c r="A22" s="17" t="s">
        <v>48</v>
      </c>
      <c r="B22" s="7" t="s">
        <v>66</v>
      </c>
      <c r="C22" s="7">
        <v>2.0500000000000001E-2</v>
      </c>
      <c r="D22" s="6" t="s">
        <v>2</v>
      </c>
      <c r="E22" s="6">
        <f>555542/2789524</f>
        <v>0.19915297376900146</v>
      </c>
    </row>
    <row r="23" spans="1:5" x14ac:dyDescent="0.35">
      <c r="A23" s="14"/>
      <c r="B23" s="7" t="s">
        <v>68</v>
      </c>
      <c r="C23" s="7">
        <v>0.98089999999999999</v>
      </c>
      <c r="D23" s="19"/>
      <c r="E23" s="19"/>
    </row>
    <row r="24" spans="1:5" x14ac:dyDescent="0.35">
      <c r="A24" s="14"/>
      <c r="B24" s="7" t="s">
        <v>67</v>
      </c>
      <c r="C24" s="7">
        <v>2.58E-2</v>
      </c>
      <c r="D24" s="19"/>
      <c r="E24" s="19"/>
    </row>
    <row r="25" spans="1:5" x14ac:dyDescent="0.4">
      <c r="A25" s="14"/>
      <c r="B25" s="19"/>
      <c r="C25" s="6"/>
      <c r="D25" s="19"/>
      <c r="E25" s="19"/>
    </row>
    <row r="26" spans="1:5" x14ac:dyDescent="0.35">
      <c r="A26" s="17" t="s">
        <v>49</v>
      </c>
      <c r="B26" s="7" t="s">
        <v>66</v>
      </c>
      <c r="C26" s="7">
        <v>4.7600000000000003E-2</v>
      </c>
      <c r="D26" s="19" t="s">
        <v>2</v>
      </c>
      <c r="E26" s="6">
        <f>498.7/2355</f>
        <v>0.21176220806794055</v>
      </c>
    </row>
    <row r="27" spans="1:5" x14ac:dyDescent="0.35">
      <c r="A27" s="14"/>
      <c r="B27" s="7" t="s">
        <v>68</v>
      </c>
      <c r="C27" s="7">
        <v>0.97709999999999997</v>
      </c>
      <c r="D27" s="19"/>
      <c r="E27" s="19"/>
    </row>
    <row r="28" spans="1:5" x14ac:dyDescent="0.35">
      <c r="A28" s="14"/>
      <c r="B28" s="7" t="s">
        <v>67</v>
      </c>
      <c r="C28" s="7">
        <v>4.3299999999999998E-2</v>
      </c>
      <c r="D28" s="19"/>
      <c r="E28" s="19"/>
    </row>
    <row r="29" spans="1:5" x14ac:dyDescent="0.35">
      <c r="A29" s="14"/>
      <c r="B29" s="7"/>
      <c r="C29" s="7"/>
      <c r="D29" s="19"/>
      <c r="E29" s="19"/>
    </row>
    <row r="30" spans="1:5" x14ac:dyDescent="0.35">
      <c r="A30" s="17" t="s">
        <v>50</v>
      </c>
      <c r="B30" s="7" t="s">
        <v>66</v>
      </c>
      <c r="C30" s="7">
        <v>3.9399999999999998E-2</v>
      </c>
      <c r="D30" s="6" t="s">
        <v>2</v>
      </c>
      <c r="E30" s="6">
        <f>1.106/7.021</f>
        <v>0.15752741774675974</v>
      </c>
    </row>
    <row r="31" spans="1:5" x14ac:dyDescent="0.35">
      <c r="A31" s="14"/>
      <c r="B31" s="7" t="s">
        <v>68</v>
      </c>
      <c r="C31" s="7">
        <v>0.31680000000000003</v>
      </c>
      <c r="D31" s="19"/>
      <c r="E31" s="19"/>
    </row>
    <row r="32" spans="1:5" x14ac:dyDescent="0.35">
      <c r="A32" s="14"/>
      <c r="B32" s="7" t="s">
        <v>67</v>
      </c>
      <c r="C32" s="7">
        <v>0.43330000000000002</v>
      </c>
      <c r="D32" s="19"/>
      <c r="E32" s="19"/>
    </row>
    <row r="33" spans="1:6" x14ac:dyDescent="0.4">
      <c r="A33" s="14"/>
      <c r="B33" s="19"/>
      <c r="C33" s="6"/>
      <c r="D33" s="19"/>
      <c r="E33" s="19"/>
    </row>
    <row r="34" spans="1:6" x14ac:dyDescent="0.35">
      <c r="A34" s="17" t="s">
        <v>51</v>
      </c>
      <c r="B34" s="7" t="s">
        <v>66</v>
      </c>
      <c r="C34" s="7">
        <v>1.9800000000000002E-2</v>
      </c>
      <c r="D34" s="6" t="s">
        <v>2</v>
      </c>
      <c r="E34" s="6">
        <f>0.0002422/0.001359</f>
        <v>0.17821927888153055</v>
      </c>
    </row>
    <row r="35" spans="1:6" x14ac:dyDescent="0.35">
      <c r="A35" s="14"/>
      <c r="B35" s="7" t="s">
        <v>68</v>
      </c>
      <c r="C35" s="7">
        <v>8.9899999999999994E-2</v>
      </c>
      <c r="D35" s="19"/>
      <c r="E35" s="19"/>
    </row>
    <row r="36" spans="1:6" x14ac:dyDescent="0.35">
      <c r="A36" s="14"/>
      <c r="B36" s="7" t="s">
        <v>67</v>
      </c>
      <c r="C36" s="7">
        <v>0.76190000000000002</v>
      </c>
      <c r="D36" s="19"/>
      <c r="E36" s="19"/>
    </row>
    <row r="37" spans="1:6" x14ac:dyDescent="0.4">
      <c r="A37" s="14"/>
      <c r="B37" s="19"/>
      <c r="C37" s="6"/>
      <c r="D37" s="19"/>
      <c r="E37" s="19"/>
    </row>
    <row r="38" spans="1:6" x14ac:dyDescent="0.35">
      <c r="A38" s="17" t="s">
        <v>52</v>
      </c>
      <c r="B38" s="6" t="s">
        <v>78</v>
      </c>
      <c r="C38" s="7">
        <v>4.7000000000000002E-3</v>
      </c>
      <c r="D38" s="6" t="s">
        <v>3</v>
      </c>
      <c r="E38" s="6">
        <f>1.209/(1.209+6.666)</f>
        <v>0.15352380952380953</v>
      </c>
      <c r="F38" s="3"/>
    </row>
    <row r="39" spans="1:6" x14ac:dyDescent="0.4">
      <c r="A39" s="14"/>
      <c r="B39" s="14"/>
      <c r="C39" s="6"/>
      <c r="D39" s="6" t="s">
        <v>4</v>
      </c>
      <c r="E39" s="6">
        <f>9.69/(9.69+6.666)</f>
        <v>0.59244314013206156</v>
      </c>
    </row>
    <row r="40" spans="1:6" x14ac:dyDescent="0.4">
      <c r="A40" s="17"/>
      <c r="B40" s="19"/>
      <c r="C40" s="6"/>
      <c r="D40" s="6" t="s">
        <v>5</v>
      </c>
      <c r="E40" s="6">
        <f>4.018/(4.018+6.666)</f>
        <v>0.37607637588918003</v>
      </c>
    </row>
    <row r="41" spans="1:6" x14ac:dyDescent="0.4">
      <c r="A41" s="14"/>
      <c r="B41" s="19"/>
      <c r="C41" s="6"/>
      <c r="D41" s="19"/>
      <c r="E41" s="6"/>
    </row>
    <row r="42" spans="1:6" x14ac:dyDescent="0.35">
      <c r="A42" s="17" t="s">
        <v>53</v>
      </c>
      <c r="B42" s="6" t="s">
        <v>78</v>
      </c>
      <c r="C42" s="7">
        <v>2.0000000000000001E-4</v>
      </c>
      <c r="D42" s="6" t="s">
        <v>3</v>
      </c>
      <c r="E42" s="6">
        <f>0.1881/(0.1881+1.259)</f>
        <v>0.12998410614332112</v>
      </c>
    </row>
    <row r="43" spans="1:6" x14ac:dyDescent="0.35">
      <c r="A43" s="14"/>
      <c r="B43" s="6" t="s">
        <v>79</v>
      </c>
      <c r="C43" s="7">
        <v>6.7000000000000002E-3</v>
      </c>
      <c r="D43" s="6" t="s">
        <v>4</v>
      </c>
      <c r="E43" s="6">
        <f>13.58/(13.58+1.259)</f>
        <v>0.91515600781723838</v>
      </c>
    </row>
    <row r="44" spans="1:6" x14ac:dyDescent="0.35">
      <c r="A44" s="14"/>
      <c r="B44" s="6" t="s">
        <v>61</v>
      </c>
      <c r="C44" s="7">
        <v>4.0000000000000002E-4</v>
      </c>
      <c r="D44" s="6" t="s">
        <v>5</v>
      </c>
      <c r="E44" s="6">
        <f>1.752/(1.752+1.259)</f>
        <v>0.58186648953835929</v>
      </c>
    </row>
    <row r="45" spans="1:6" x14ac:dyDescent="0.4">
      <c r="A45" s="14"/>
      <c r="B45" s="14"/>
      <c r="C45" s="6"/>
      <c r="D45" s="19"/>
      <c r="E45" s="6"/>
    </row>
    <row r="46" spans="1:6" x14ac:dyDescent="0.35">
      <c r="A46" s="17" t="s">
        <v>54</v>
      </c>
      <c r="B46" s="6" t="s">
        <v>80</v>
      </c>
      <c r="C46" s="7">
        <v>2.5100000000000001E-2</v>
      </c>
      <c r="D46" s="6" t="s">
        <v>3</v>
      </c>
      <c r="E46" s="6">
        <f>0.5044/(0.5044+44.62)</f>
        <v>1.117798796216681E-2</v>
      </c>
    </row>
    <row r="47" spans="1:6" x14ac:dyDescent="0.35">
      <c r="A47" s="14"/>
      <c r="B47" s="6" t="s">
        <v>58</v>
      </c>
      <c r="C47" s="7">
        <v>5.1000000000000004E-3</v>
      </c>
      <c r="D47" s="6" t="s">
        <v>4</v>
      </c>
      <c r="E47" s="6">
        <f>129.1/(129.1+44.62)</f>
        <v>0.7431498963849873</v>
      </c>
    </row>
    <row r="48" spans="1:6" x14ac:dyDescent="0.35">
      <c r="A48" s="14"/>
      <c r="B48" s="6" t="s">
        <v>61</v>
      </c>
      <c r="C48" s="7">
        <v>2.5999999999999999E-3</v>
      </c>
      <c r="D48" s="6" t="s">
        <v>5</v>
      </c>
      <c r="E48" s="6">
        <f>41.67/(41.67+44.62)</f>
        <v>0.4829064781550586</v>
      </c>
    </row>
    <row r="49" spans="1:5" x14ac:dyDescent="0.4">
      <c r="A49" s="14"/>
      <c r="B49" s="14"/>
      <c r="C49" s="16"/>
      <c r="D49" s="14"/>
      <c r="E49" s="6"/>
    </row>
    <row r="50" spans="1:5" x14ac:dyDescent="0.35">
      <c r="A50" s="17" t="s">
        <v>55</v>
      </c>
      <c r="B50" s="6" t="s">
        <v>80</v>
      </c>
      <c r="C50" s="7" t="s">
        <v>65</v>
      </c>
      <c r="D50" s="6" t="s">
        <v>3</v>
      </c>
      <c r="E50" s="6">
        <f>56.58/(56.58+68.35)</f>
        <v>0.45289362042743936</v>
      </c>
    </row>
    <row r="51" spans="1:5" x14ac:dyDescent="0.35">
      <c r="A51" s="14"/>
      <c r="B51" s="6" t="s">
        <v>81</v>
      </c>
      <c r="C51" s="7">
        <v>1.04E-2</v>
      </c>
      <c r="D51" s="6" t="s">
        <v>4</v>
      </c>
      <c r="E51" s="6">
        <f>1049/(1049+68.35)</f>
        <v>0.93882847809549386</v>
      </c>
    </row>
    <row r="52" spans="1:5" x14ac:dyDescent="0.4">
      <c r="A52" s="14"/>
      <c r="B52" s="14"/>
      <c r="C52" s="14"/>
      <c r="D52" s="6" t="s">
        <v>5</v>
      </c>
      <c r="E52" s="6">
        <f>385.4/(385.4+68.35)</f>
        <v>0.84936639118457291</v>
      </c>
    </row>
    <row r="53" spans="1:5" x14ac:dyDescent="0.4">
      <c r="A53" s="14"/>
      <c r="B53" s="14"/>
      <c r="C53" s="14"/>
      <c r="D53" s="14"/>
      <c r="E53" s="14"/>
    </row>
    <row r="54" spans="1:5" x14ac:dyDescent="0.4">
      <c r="A54" s="17" t="s">
        <v>56</v>
      </c>
      <c r="B54" s="28" t="s">
        <v>60</v>
      </c>
      <c r="C54" s="32"/>
      <c r="D54" s="32"/>
      <c r="E54" s="32"/>
    </row>
    <row r="55" spans="1:5" x14ac:dyDescent="0.35">
      <c r="A55" s="14"/>
      <c r="B55" s="7" t="s">
        <v>66</v>
      </c>
      <c r="C55" s="7">
        <v>1.89E-2</v>
      </c>
      <c r="D55" s="6" t="s">
        <v>2</v>
      </c>
      <c r="E55" s="6">
        <f>3.655/14.36</f>
        <v>0.25452646239554316</v>
      </c>
    </row>
    <row r="56" spans="1:5" x14ac:dyDescent="0.35">
      <c r="A56" s="14"/>
      <c r="B56" s="7" t="s">
        <v>68</v>
      </c>
      <c r="C56" s="7">
        <v>0.68289999999999995</v>
      </c>
      <c r="D56" s="19"/>
      <c r="E56" s="19"/>
    </row>
    <row r="57" spans="1:5" x14ac:dyDescent="0.35">
      <c r="A57" s="14"/>
      <c r="B57" s="7" t="s">
        <v>67</v>
      </c>
      <c r="C57" s="7">
        <v>3.0999999999999999E-3</v>
      </c>
      <c r="D57" s="19"/>
      <c r="E57" s="19"/>
    </row>
    <row r="58" spans="1:5" x14ac:dyDescent="0.4">
      <c r="A58" s="14"/>
      <c r="B58" s="28" t="s">
        <v>7</v>
      </c>
      <c r="C58" s="29"/>
      <c r="D58" s="29"/>
      <c r="E58" s="29"/>
    </row>
    <row r="59" spans="1:5" x14ac:dyDescent="0.35">
      <c r="A59" s="14"/>
      <c r="B59" s="7" t="s">
        <v>66</v>
      </c>
      <c r="C59" s="7">
        <v>0.1061</v>
      </c>
      <c r="D59" s="6" t="s">
        <v>2</v>
      </c>
      <c r="E59" s="6">
        <f>2.928/13.44</f>
        <v>0.21785714285714286</v>
      </c>
    </row>
    <row r="60" spans="1:5" x14ac:dyDescent="0.35">
      <c r="A60" s="14"/>
      <c r="B60" s="7" t="s">
        <v>68</v>
      </c>
      <c r="C60" s="7">
        <v>0.33400000000000002</v>
      </c>
      <c r="D60" s="19"/>
      <c r="E60" s="19"/>
    </row>
    <row r="61" spans="1:5" x14ac:dyDescent="0.35">
      <c r="A61" s="14"/>
      <c r="B61" s="7" t="s">
        <v>67</v>
      </c>
      <c r="C61" s="7">
        <v>3.2000000000000002E-3</v>
      </c>
      <c r="D61" s="19"/>
      <c r="E61" s="19"/>
    </row>
    <row r="62" spans="1:5" x14ac:dyDescent="0.4">
      <c r="A62" s="14"/>
      <c r="B62" s="28" t="s">
        <v>9</v>
      </c>
      <c r="C62" s="29"/>
      <c r="D62" s="29"/>
      <c r="E62" s="29"/>
    </row>
    <row r="63" spans="1:5" x14ac:dyDescent="0.35">
      <c r="A63" s="14"/>
      <c r="B63" s="7" t="s">
        <v>66</v>
      </c>
      <c r="C63" s="7">
        <v>1.17E-2</v>
      </c>
      <c r="D63" s="6" t="s">
        <v>2</v>
      </c>
      <c r="E63" s="6">
        <f>2.564/11.76</f>
        <v>0.21802721088435376</v>
      </c>
    </row>
    <row r="64" spans="1:5" x14ac:dyDescent="0.35">
      <c r="A64" s="14"/>
      <c r="B64" s="7" t="s">
        <v>68</v>
      </c>
      <c r="C64" s="7">
        <v>0.99950000000000006</v>
      </c>
      <c r="D64" s="19"/>
      <c r="E64" s="19"/>
    </row>
    <row r="65" spans="1:5" x14ac:dyDescent="0.35">
      <c r="A65" s="14"/>
      <c r="B65" s="7" t="s">
        <v>67</v>
      </c>
      <c r="C65" s="7">
        <v>1.23E-2</v>
      </c>
      <c r="D65" s="19"/>
      <c r="E65" s="19"/>
    </row>
    <row r="67" spans="1:5" x14ac:dyDescent="0.4">
      <c r="A67" s="17" t="s">
        <v>87</v>
      </c>
      <c r="B67" s="28" t="s">
        <v>89</v>
      </c>
      <c r="C67" s="32"/>
      <c r="D67" s="32"/>
      <c r="E67" s="32"/>
    </row>
    <row r="68" spans="1:5" x14ac:dyDescent="0.35">
      <c r="A68" s="14"/>
      <c r="B68" s="7" t="s">
        <v>66</v>
      </c>
      <c r="C68" s="7">
        <v>1.6500000000000001E-2</v>
      </c>
      <c r="D68" s="6" t="s">
        <v>2</v>
      </c>
      <c r="E68" s="6">
        <f>171.1/767.7</f>
        <v>0.2228735183014198</v>
      </c>
    </row>
    <row r="69" spans="1:5" x14ac:dyDescent="0.35">
      <c r="A69" s="14"/>
      <c r="B69" s="7" t="s">
        <v>68</v>
      </c>
      <c r="C69" s="7">
        <v>0.94299999999999995</v>
      </c>
      <c r="D69" s="19"/>
      <c r="E69" s="19"/>
    </row>
    <row r="70" spans="1:5" x14ac:dyDescent="0.35">
      <c r="A70" s="14"/>
      <c r="B70" s="7" t="s">
        <v>67</v>
      </c>
      <c r="C70" s="7">
        <v>2.8400000000000002E-2</v>
      </c>
      <c r="D70" s="19"/>
      <c r="E70" s="19"/>
    </row>
    <row r="71" spans="1:5" x14ac:dyDescent="0.4">
      <c r="A71" s="14"/>
      <c r="B71" s="28" t="s">
        <v>90</v>
      </c>
      <c r="C71" s="29"/>
      <c r="D71" s="29"/>
      <c r="E71" s="29"/>
    </row>
    <row r="72" spans="1:5" x14ac:dyDescent="0.35">
      <c r="A72" s="14"/>
      <c r="B72" s="7" t="s">
        <v>66</v>
      </c>
      <c r="C72" s="7">
        <v>0.47720000000000001</v>
      </c>
      <c r="D72" s="6" t="s">
        <v>2</v>
      </c>
      <c r="E72" s="6">
        <f>6500/27967</f>
        <v>0.23241677691565057</v>
      </c>
    </row>
    <row r="73" spans="1:5" x14ac:dyDescent="0.35">
      <c r="A73" s="14"/>
      <c r="B73" s="7" t="s">
        <v>68</v>
      </c>
      <c r="C73" s="7">
        <v>9.7199999999999995E-2</v>
      </c>
      <c r="D73" s="19"/>
      <c r="E73" s="19"/>
    </row>
    <row r="74" spans="1:5" x14ac:dyDescent="0.35">
      <c r="A74" s="14"/>
      <c r="B74" s="7" t="s">
        <v>67</v>
      </c>
      <c r="C74" s="7">
        <v>4.5999999999999999E-3</v>
      </c>
      <c r="D74" s="19"/>
      <c r="E74" s="19"/>
    </row>
    <row r="75" spans="1:5" x14ac:dyDescent="0.4">
      <c r="A75" s="14"/>
      <c r="B75" s="28" t="s">
        <v>91</v>
      </c>
      <c r="C75" s="29"/>
      <c r="D75" s="29"/>
      <c r="E75" s="29"/>
    </row>
    <row r="76" spans="1:5" x14ac:dyDescent="0.35">
      <c r="A76" s="14"/>
      <c r="B76" s="7" t="s">
        <v>66</v>
      </c>
      <c r="C76" s="7">
        <v>1.6400000000000001E-2</v>
      </c>
      <c r="D76" s="6" t="s">
        <v>2</v>
      </c>
      <c r="E76" s="6">
        <f>635.6/2771</f>
        <v>0.22937567665102851</v>
      </c>
    </row>
    <row r="77" spans="1:5" x14ac:dyDescent="0.35">
      <c r="A77" s="14"/>
      <c r="B77" s="7" t="s">
        <v>68</v>
      </c>
      <c r="C77" s="7">
        <v>0.95809999999999995</v>
      </c>
      <c r="D77" s="19"/>
      <c r="E77" s="19"/>
    </row>
    <row r="78" spans="1:5" x14ac:dyDescent="0.35">
      <c r="A78" s="14"/>
      <c r="B78" s="7" t="s">
        <v>67</v>
      </c>
      <c r="C78" s="7">
        <v>2.4799999999999999E-2</v>
      </c>
      <c r="D78" s="19"/>
      <c r="E78" s="19"/>
    </row>
  </sheetData>
  <mergeCells count="8">
    <mergeCell ref="B75:E75"/>
    <mergeCell ref="B58:E58"/>
    <mergeCell ref="B62:E62"/>
    <mergeCell ref="B1:C1"/>
    <mergeCell ref="D1:E1"/>
    <mergeCell ref="B54:E54"/>
    <mergeCell ref="B67:E67"/>
    <mergeCell ref="B71:E7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2CFCB-3D8E-4F49-8EAB-150FDD7A723B}">
  <dimension ref="A1:E49"/>
  <sheetViews>
    <sheetView workbookViewId="0">
      <selection activeCell="G14" sqref="G14"/>
    </sheetView>
  </sheetViews>
  <sheetFormatPr defaultRowHeight="13.9" x14ac:dyDescent="0.4"/>
  <cols>
    <col min="1" max="1" width="14.73046875" customWidth="1"/>
    <col min="2" max="2" width="21.796875" customWidth="1"/>
    <col min="4" max="4" width="14.73046875" customWidth="1"/>
    <col min="5" max="5" width="13.1328125" customWidth="1"/>
  </cols>
  <sheetData>
    <row r="1" spans="1:5" x14ac:dyDescent="0.4">
      <c r="A1" s="14"/>
      <c r="B1" s="30" t="s">
        <v>57</v>
      </c>
      <c r="C1" s="31"/>
      <c r="D1" s="30" t="s">
        <v>71</v>
      </c>
      <c r="E1" s="31"/>
    </row>
    <row r="2" spans="1:5" x14ac:dyDescent="0.35">
      <c r="A2" s="17" t="s">
        <v>10</v>
      </c>
      <c r="B2" s="7" t="s">
        <v>66</v>
      </c>
      <c r="C2" s="7">
        <v>0.55110000000000003</v>
      </c>
      <c r="D2" s="20" t="s">
        <v>16</v>
      </c>
      <c r="E2" s="6">
        <v>3.8906976744186049E-2</v>
      </c>
    </row>
    <row r="3" spans="1:5" x14ac:dyDescent="0.35">
      <c r="A3" s="14"/>
      <c r="B3" s="7" t="s">
        <v>68</v>
      </c>
      <c r="C3" s="7">
        <v>0.18679999999999999</v>
      </c>
      <c r="D3" s="19"/>
      <c r="E3" s="19"/>
    </row>
    <row r="4" spans="1:5" x14ac:dyDescent="0.35">
      <c r="A4" s="14"/>
      <c r="B4" s="7" t="s">
        <v>67</v>
      </c>
      <c r="C4" s="7" t="s">
        <v>86</v>
      </c>
      <c r="D4" s="19"/>
      <c r="E4" s="19"/>
    </row>
    <row r="5" spans="1:5" x14ac:dyDescent="0.4">
      <c r="A5" s="14"/>
      <c r="B5" s="19"/>
      <c r="C5" s="6"/>
      <c r="D5" s="19"/>
      <c r="E5" s="19"/>
    </row>
    <row r="6" spans="1:5" x14ac:dyDescent="0.4">
      <c r="A6" s="14"/>
      <c r="B6" s="19"/>
      <c r="C6" s="6"/>
      <c r="D6" s="19"/>
      <c r="E6" s="19"/>
    </row>
    <row r="7" spans="1:5" x14ac:dyDescent="0.35">
      <c r="A7" s="17" t="s">
        <v>11</v>
      </c>
      <c r="B7" s="7" t="s">
        <v>66</v>
      </c>
      <c r="C7" s="7">
        <v>0.87109999999999999</v>
      </c>
      <c r="D7" s="6" t="s">
        <v>2</v>
      </c>
      <c r="E7" s="6">
        <f>0.4167/67.5</f>
        <v>6.1733333333333336E-3</v>
      </c>
    </row>
    <row r="8" spans="1:5" x14ac:dyDescent="0.35">
      <c r="A8" s="14"/>
      <c r="B8" s="7" t="s">
        <v>68</v>
      </c>
      <c r="C8" s="7">
        <v>0.93379999999999996</v>
      </c>
      <c r="D8" s="19"/>
      <c r="E8" s="19"/>
    </row>
    <row r="9" spans="1:5" x14ac:dyDescent="0.35">
      <c r="A9" s="14"/>
      <c r="B9" s="7" t="s">
        <v>67</v>
      </c>
      <c r="C9" s="7">
        <v>0.98829999999999996</v>
      </c>
      <c r="D9" s="19"/>
      <c r="E9" s="19"/>
    </row>
    <row r="10" spans="1:5" x14ac:dyDescent="0.4">
      <c r="A10" s="14"/>
      <c r="B10" s="19"/>
      <c r="C10" s="6"/>
      <c r="D10" s="19"/>
      <c r="E10" s="19"/>
    </row>
    <row r="11" spans="1:5" x14ac:dyDescent="0.35">
      <c r="A11" s="17" t="s">
        <v>12</v>
      </c>
      <c r="B11" s="7" t="s">
        <v>66</v>
      </c>
      <c r="C11" s="7">
        <v>2.0199999999999999E-2</v>
      </c>
      <c r="D11" s="6" t="s">
        <v>2</v>
      </c>
      <c r="E11" s="6">
        <f>27505/131808</f>
        <v>0.20867473901432387</v>
      </c>
    </row>
    <row r="12" spans="1:5" x14ac:dyDescent="0.35">
      <c r="A12" s="14"/>
      <c r="B12" s="7" t="s">
        <v>68</v>
      </c>
      <c r="C12" s="7">
        <v>0.25940000000000002</v>
      </c>
      <c r="D12" s="19"/>
      <c r="E12" s="19"/>
    </row>
    <row r="13" spans="1:5" x14ac:dyDescent="0.35">
      <c r="A13" s="14"/>
      <c r="B13" s="7" t="s">
        <v>67</v>
      </c>
      <c r="C13" s="7">
        <v>0.45300000000000001</v>
      </c>
      <c r="D13" s="19"/>
      <c r="E13" s="19"/>
    </row>
    <row r="14" spans="1:5" x14ac:dyDescent="0.4">
      <c r="A14" s="14"/>
      <c r="B14" s="19"/>
      <c r="C14" s="6"/>
      <c r="D14" s="19"/>
      <c r="E14" s="19"/>
    </row>
    <row r="15" spans="1:5" x14ac:dyDescent="0.35">
      <c r="A15" s="17" t="s">
        <v>13</v>
      </c>
      <c r="B15" s="7" t="s">
        <v>66</v>
      </c>
      <c r="C15" s="7">
        <v>0.99529999999999996</v>
      </c>
      <c r="D15" s="20" t="s">
        <v>16</v>
      </c>
      <c r="E15" s="6">
        <v>0</v>
      </c>
    </row>
    <row r="16" spans="1:5" x14ac:dyDescent="0.35">
      <c r="A16" s="14"/>
      <c r="B16" s="7" t="s">
        <v>68</v>
      </c>
      <c r="C16" s="7" t="s">
        <v>86</v>
      </c>
      <c r="D16" s="19"/>
      <c r="E16" s="19"/>
    </row>
    <row r="17" spans="1:5" x14ac:dyDescent="0.35">
      <c r="A17" s="14"/>
      <c r="B17" s="7" t="s">
        <v>67</v>
      </c>
      <c r="C17" s="7">
        <v>0.75339999999999996</v>
      </c>
      <c r="D17" s="14"/>
      <c r="E17" s="14"/>
    </row>
    <row r="18" spans="1:5" x14ac:dyDescent="0.4">
      <c r="A18" s="14"/>
      <c r="B18" s="14"/>
      <c r="C18" s="14"/>
      <c r="D18" s="14"/>
      <c r="E18" s="14"/>
    </row>
    <row r="19" spans="1:5" x14ac:dyDescent="0.35">
      <c r="A19" s="14"/>
      <c r="B19" s="7" t="s">
        <v>66</v>
      </c>
      <c r="C19" s="7">
        <v>1.8200000000000001E-2</v>
      </c>
      <c r="D19" s="20" t="s">
        <v>17</v>
      </c>
      <c r="E19" s="6">
        <v>0.15</v>
      </c>
    </row>
    <row r="20" spans="1:5" x14ac:dyDescent="0.35">
      <c r="A20" s="14"/>
      <c r="B20" s="7" t="s">
        <v>67</v>
      </c>
      <c r="C20" s="7">
        <v>2.4899999999999999E-2</v>
      </c>
      <c r="D20" s="14"/>
      <c r="E20" s="14"/>
    </row>
    <row r="21" spans="1:5" x14ac:dyDescent="0.4">
      <c r="A21" s="14"/>
      <c r="B21" s="27"/>
      <c r="C21" s="27"/>
      <c r="D21" s="27"/>
      <c r="E21" s="14"/>
    </row>
    <row r="22" spans="1:5" x14ac:dyDescent="0.35">
      <c r="A22" s="17" t="s">
        <v>14</v>
      </c>
      <c r="B22" s="7" t="s">
        <v>66</v>
      </c>
      <c r="C22" s="7">
        <v>0.27400000000000002</v>
      </c>
      <c r="D22" s="20" t="s">
        <v>17</v>
      </c>
      <c r="E22" s="6">
        <v>0.30199999999999999</v>
      </c>
    </row>
    <row r="23" spans="1:5" x14ac:dyDescent="0.35">
      <c r="A23" s="14"/>
      <c r="B23" s="7" t="s">
        <v>67</v>
      </c>
      <c r="C23" s="6">
        <v>4.8000000000000001E-2</v>
      </c>
      <c r="D23" s="19"/>
      <c r="E23" s="19"/>
    </row>
    <row r="24" spans="1:5" x14ac:dyDescent="0.4">
      <c r="A24" s="14"/>
      <c r="B24" s="19"/>
      <c r="C24" s="6"/>
      <c r="D24" s="19"/>
      <c r="E24" s="19"/>
    </row>
    <row r="25" spans="1:5" x14ac:dyDescent="0.4">
      <c r="A25" s="17" t="s">
        <v>15</v>
      </c>
      <c r="B25" s="28" t="s">
        <v>18</v>
      </c>
      <c r="C25" s="29"/>
      <c r="D25" s="29"/>
      <c r="E25" s="29"/>
    </row>
    <row r="26" spans="1:5" x14ac:dyDescent="0.35">
      <c r="A26" s="14"/>
      <c r="B26" s="7" t="s">
        <v>66</v>
      </c>
      <c r="C26" s="7">
        <v>1.4999999999999999E-2</v>
      </c>
      <c r="D26" s="6" t="s">
        <v>2</v>
      </c>
      <c r="E26" s="6">
        <f>1.223/6.732</f>
        <v>0.1816696375519905</v>
      </c>
    </row>
    <row r="27" spans="1:5" x14ac:dyDescent="0.35">
      <c r="A27" s="14"/>
      <c r="B27" s="7" t="s">
        <v>68</v>
      </c>
      <c r="C27" s="7">
        <v>0.26729999999999998</v>
      </c>
      <c r="D27" s="19"/>
      <c r="E27" s="19"/>
    </row>
    <row r="28" spans="1:5" x14ac:dyDescent="0.35">
      <c r="A28" s="14"/>
      <c r="B28" s="7" t="s">
        <v>67</v>
      </c>
      <c r="C28" s="7">
        <v>0.36870000000000003</v>
      </c>
      <c r="D28" s="19"/>
      <c r="E28" s="19"/>
    </row>
    <row r="29" spans="1:5" x14ac:dyDescent="0.4">
      <c r="A29" s="14"/>
      <c r="B29" s="28" t="s">
        <v>74</v>
      </c>
      <c r="C29" s="29"/>
      <c r="D29" s="29"/>
      <c r="E29" s="29"/>
    </row>
    <row r="30" spans="1:5" x14ac:dyDescent="0.35">
      <c r="A30" s="14"/>
      <c r="B30" s="7" t="s">
        <v>66</v>
      </c>
      <c r="C30" s="7">
        <v>1.4500000000000001E-2</v>
      </c>
      <c r="D30" s="6" t="s">
        <v>2</v>
      </c>
      <c r="E30" s="6">
        <f>2.397/13.14</f>
        <v>0.18242009132420089</v>
      </c>
    </row>
    <row r="31" spans="1:5" x14ac:dyDescent="0.35">
      <c r="A31" s="14"/>
      <c r="B31" s="7" t="s">
        <v>68</v>
      </c>
      <c r="C31" s="7">
        <v>0.29959999999999998</v>
      </c>
      <c r="D31" s="19"/>
      <c r="E31" s="19"/>
    </row>
    <row r="32" spans="1:5" x14ac:dyDescent="0.35">
      <c r="A32" s="14"/>
      <c r="B32" s="7" t="s">
        <v>67</v>
      </c>
      <c r="C32" s="7">
        <v>0.29160000000000003</v>
      </c>
      <c r="D32" s="19"/>
      <c r="E32" s="19"/>
    </row>
    <row r="33" spans="1:5" x14ac:dyDescent="0.4">
      <c r="A33" s="14"/>
      <c r="B33" s="28" t="s">
        <v>75</v>
      </c>
      <c r="C33" s="29"/>
      <c r="D33" s="29"/>
      <c r="E33" s="29"/>
    </row>
    <row r="34" spans="1:5" x14ac:dyDescent="0.35">
      <c r="A34" s="14"/>
      <c r="B34" s="7" t="s">
        <v>66</v>
      </c>
      <c r="C34" s="7">
        <v>1.8E-3</v>
      </c>
      <c r="D34" s="6" t="s">
        <v>2</v>
      </c>
      <c r="E34" s="6">
        <f>4.085/15.9</f>
        <v>0.25691823899371069</v>
      </c>
    </row>
    <row r="35" spans="1:5" x14ac:dyDescent="0.35">
      <c r="A35" s="14"/>
      <c r="B35" s="7" t="s">
        <v>68</v>
      </c>
      <c r="C35" s="7">
        <v>0.11310000000000001</v>
      </c>
      <c r="D35" s="19"/>
      <c r="E35" s="19"/>
    </row>
    <row r="36" spans="1:5" x14ac:dyDescent="0.35">
      <c r="A36" s="14"/>
      <c r="B36" s="7" t="s">
        <v>67</v>
      </c>
      <c r="C36" s="7">
        <v>0.20699999999999999</v>
      </c>
      <c r="D36" s="19"/>
      <c r="E36" s="19"/>
    </row>
    <row r="37" spans="1:5" x14ac:dyDescent="0.4">
      <c r="A37" s="14"/>
      <c r="B37" s="14"/>
      <c r="C37" s="14"/>
      <c r="D37" s="14"/>
      <c r="E37" s="14"/>
    </row>
    <row r="38" spans="1:5" x14ac:dyDescent="0.4">
      <c r="A38" s="17" t="s">
        <v>88</v>
      </c>
      <c r="B38" s="28" t="s">
        <v>89</v>
      </c>
      <c r="C38" s="32"/>
      <c r="D38" s="32"/>
      <c r="E38" s="32"/>
    </row>
    <row r="39" spans="1:5" x14ac:dyDescent="0.35">
      <c r="A39" s="14"/>
      <c r="B39" s="7" t="s">
        <v>66</v>
      </c>
      <c r="C39" s="7">
        <v>0.12</v>
      </c>
      <c r="D39" s="6" t="s">
        <v>2</v>
      </c>
      <c r="E39" s="6">
        <f>56.27/456.1</f>
        <v>0.12337206752905065</v>
      </c>
    </row>
    <row r="40" spans="1:5" x14ac:dyDescent="0.35">
      <c r="A40" s="14"/>
      <c r="B40" s="7" t="s">
        <v>68</v>
      </c>
      <c r="C40" s="7">
        <v>0.9929</v>
      </c>
      <c r="D40" s="19"/>
      <c r="E40" s="19"/>
    </row>
    <row r="41" spans="1:5" x14ac:dyDescent="0.35">
      <c r="A41" s="14"/>
      <c r="B41" s="7" t="s">
        <v>67</v>
      </c>
      <c r="C41" s="7">
        <v>9.6299999999999997E-2</v>
      </c>
      <c r="D41" s="19"/>
      <c r="E41" s="19"/>
    </row>
    <row r="42" spans="1:5" x14ac:dyDescent="0.4">
      <c r="A42" s="14"/>
      <c r="B42" s="28" t="s">
        <v>90</v>
      </c>
      <c r="C42" s="29"/>
      <c r="D42" s="29"/>
      <c r="E42" s="29"/>
    </row>
    <row r="43" spans="1:5" x14ac:dyDescent="0.35">
      <c r="A43" s="14"/>
      <c r="B43" s="7" t="s">
        <v>66</v>
      </c>
      <c r="C43" s="7">
        <v>2.9999999999999997E-4</v>
      </c>
      <c r="D43" s="6" t="s">
        <v>2</v>
      </c>
      <c r="E43" s="6">
        <f>13083/40748</f>
        <v>0.3210709728084814</v>
      </c>
    </row>
    <row r="44" spans="1:5" x14ac:dyDescent="0.35">
      <c r="A44" s="14"/>
      <c r="B44" s="7" t="s">
        <v>68</v>
      </c>
      <c r="C44" s="7">
        <v>5.04E-2</v>
      </c>
      <c r="D44" s="19"/>
      <c r="E44" s="19"/>
    </row>
    <row r="45" spans="1:5" x14ac:dyDescent="0.35">
      <c r="A45" s="14"/>
      <c r="B45" s="7" t="s">
        <v>67</v>
      </c>
      <c r="C45" s="7">
        <v>0.1249</v>
      </c>
      <c r="D45" s="19"/>
      <c r="E45" s="19"/>
    </row>
    <row r="46" spans="1:5" x14ac:dyDescent="0.4">
      <c r="A46" s="14"/>
      <c r="B46" s="28" t="s">
        <v>91</v>
      </c>
      <c r="C46" s="29"/>
      <c r="D46" s="29"/>
      <c r="E46" s="29"/>
    </row>
    <row r="47" spans="1:5" x14ac:dyDescent="0.35">
      <c r="A47" s="14"/>
      <c r="B47" s="7" t="s">
        <v>66</v>
      </c>
      <c r="C47" s="7">
        <v>1.77E-2</v>
      </c>
      <c r="D47" s="6" t="s">
        <v>2</v>
      </c>
      <c r="E47" s="6">
        <f>373.4/1924</f>
        <v>0.19407484407484407</v>
      </c>
    </row>
    <row r="48" spans="1:5" x14ac:dyDescent="0.35">
      <c r="A48" s="14"/>
      <c r="B48" s="7" t="s">
        <v>68</v>
      </c>
      <c r="C48" s="7">
        <v>0.83030000000000004</v>
      </c>
      <c r="D48" s="19"/>
      <c r="E48" s="19"/>
    </row>
    <row r="49" spans="1:5" x14ac:dyDescent="0.35">
      <c r="A49" s="14"/>
      <c r="B49" s="7" t="s">
        <v>67</v>
      </c>
      <c r="C49" s="7">
        <v>5.9499999999999997E-2</v>
      </c>
      <c r="D49" s="19"/>
      <c r="E49" s="19"/>
    </row>
  </sheetData>
  <mergeCells count="8">
    <mergeCell ref="B1:C1"/>
    <mergeCell ref="D1:E1"/>
    <mergeCell ref="B42:E42"/>
    <mergeCell ref="B38:E38"/>
    <mergeCell ref="B46:E46"/>
    <mergeCell ref="B25:E25"/>
    <mergeCell ref="B29:E29"/>
    <mergeCell ref="B33:E3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FB7A-8840-4563-A820-5A4BB98B7E06}">
  <dimension ref="A1:J124"/>
  <sheetViews>
    <sheetView workbookViewId="0">
      <selection activeCell="F117" sqref="F117"/>
    </sheetView>
  </sheetViews>
  <sheetFormatPr defaultRowHeight="12.75" x14ac:dyDescent="0.4"/>
  <cols>
    <col min="1" max="1" width="14.1328125" style="2" customWidth="1"/>
    <col min="2" max="2" width="23.9296875" style="2" customWidth="1"/>
    <col min="3" max="3" width="11.796875" style="2" customWidth="1"/>
    <col min="4" max="4" width="13.3984375" style="2" customWidth="1"/>
    <col min="5" max="5" width="14.46484375" style="2" customWidth="1"/>
    <col min="6" max="6" width="12.46484375" style="2" customWidth="1"/>
    <col min="7" max="16384" width="9.06640625" style="2"/>
  </cols>
  <sheetData>
    <row r="1" spans="1:10" ht="13.9" x14ac:dyDescent="0.4">
      <c r="A1" s="4"/>
      <c r="B1" s="30" t="s">
        <v>57</v>
      </c>
      <c r="C1" s="31"/>
      <c r="D1" s="30" t="s">
        <v>71</v>
      </c>
      <c r="E1" s="31"/>
    </row>
    <row r="2" spans="1:10" ht="13.15" x14ac:dyDescent="0.35">
      <c r="A2" s="5" t="s">
        <v>0</v>
      </c>
      <c r="B2" s="7" t="s">
        <v>66</v>
      </c>
      <c r="C2" s="7">
        <v>5.9999999999999995E-4</v>
      </c>
      <c r="D2" s="6" t="s">
        <v>2</v>
      </c>
      <c r="E2" s="6">
        <f>231.3/680.2</f>
        <v>0.34004704498676858</v>
      </c>
    </row>
    <row r="3" spans="1:10" x14ac:dyDescent="0.35">
      <c r="A3" s="4"/>
      <c r="B3" s="7" t="s">
        <v>68</v>
      </c>
      <c r="C3" s="7">
        <v>0.2278</v>
      </c>
      <c r="D3" s="4"/>
      <c r="E3" s="6"/>
    </row>
    <row r="4" spans="1:10" x14ac:dyDescent="0.35">
      <c r="A4" s="4"/>
      <c r="B4" s="7" t="s">
        <v>67</v>
      </c>
      <c r="C4" s="7">
        <v>4.99E-2</v>
      </c>
      <c r="D4" s="4"/>
      <c r="E4" s="4"/>
    </row>
    <row r="5" spans="1:10" x14ac:dyDescent="0.4">
      <c r="A5" s="4"/>
      <c r="B5" s="4"/>
      <c r="C5" s="18"/>
      <c r="D5" s="4"/>
      <c r="E5" s="4"/>
    </row>
    <row r="6" spans="1:10" ht="13.15" x14ac:dyDescent="0.35">
      <c r="A6" s="5" t="s">
        <v>19</v>
      </c>
      <c r="B6" s="7" t="s">
        <v>66</v>
      </c>
      <c r="C6" s="7">
        <v>0.70179999999999998</v>
      </c>
      <c r="D6" s="6" t="s">
        <v>2</v>
      </c>
      <c r="E6" s="6">
        <f>0.0003979/0.01128</f>
        <v>3.5274822695035464E-2</v>
      </c>
    </row>
    <row r="7" spans="1:10" x14ac:dyDescent="0.35">
      <c r="A7" s="4"/>
      <c r="B7" s="7" t="s">
        <v>68</v>
      </c>
      <c r="C7" s="7">
        <v>0.93089999999999995</v>
      </c>
      <c r="D7" s="6"/>
      <c r="E7" s="6"/>
    </row>
    <row r="8" spans="1:10" x14ac:dyDescent="0.35">
      <c r="A8" s="4"/>
      <c r="B8" s="7" t="s">
        <v>67</v>
      </c>
      <c r="C8" s="7">
        <v>0.48</v>
      </c>
      <c r="D8" s="4"/>
      <c r="E8" s="4"/>
    </row>
    <row r="9" spans="1:10" x14ac:dyDescent="0.4">
      <c r="A9" s="4"/>
      <c r="B9" s="4"/>
      <c r="C9" s="18"/>
      <c r="D9" s="4"/>
      <c r="E9" s="4"/>
    </row>
    <row r="10" spans="1:10" ht="13.15" x14ac:dyDescent="0.35">
      <c r="A10" s="5" t="s">
        <v>20</v>
      </c>
      <c r="B10" s="7" t="s">
        <v>58</v>
      </c>
      <c r="C10" s="7">
        <v>2.3999999999999998E-3</v>
      </c>
      <c r="D10" s="6" t="s">
        <v>3</v>
      </c>
      <c r="E10" s="6">
        <f>0.03194/(0.03194+0.3821)</f>
        <v>7.7142305091295535E-2</v>
      </c>
    </row>
    <row r="11" spans="1:10" x14ac:dyDescent="0.35">
      <c r="A11" s="4"/>
      <c r="B11" s="7" t="s">
        <v>70</v>
      </c>
      <c r="C11" s="7">
        <v>4.1099999999999998E-2</v>
      </c>
      <c r="D11" s="6" t="s">
        <v>4</v>
      </c>
      <c r="E11" s="6">
        <f>0.02974/(0.02974+0.3821)</f>
        <v>7.2212509712509712E-2</v>
      </c>
    </row>
    <row r="12" spans="1:10" x14ac:dyDescent="0.4">
      <c r="A12" s="4"/>
      <c r="B12" s="4"/>
      <c r="C12" s="4"/>
      <c r="D12" s="6" t="s">
        <v>5</v>
      </c>
      <c r="E12" s="6">
        <f>0.2267/(0.2267+0.3821)</f>
        <v>0.37237187910643893</v>
      </c>
      <c r="I12" s="3"/>
      <c r="J12" s="3"/>
    </row>
    <row r="13" spans="1:10" x14ac:dyDescent="0.4">
      <c r="A13" s="4"/>
      <c r="B13" s="4"/>
      <c r="C13" s="4"/>
      <c r="D13" s="4"/>
      <c r="E13" s="4"/>
      <c r="I13" s="3"/>
      <c r="J13" s="3"/>
    </row>
    <row r="14" spans="1:10" ht="13.15" x14ac:dyDescent="0.35">
      <c r="A14" s="5" t="s">
        <v>21</v>
      </c>
      <c r="B14" s="7" t="s">
        <v>82</v>
      </c>
      <c r="C14" s="7">
        <v>5.9999999999999995E-4</v>
      </c>
      <c r="D14" s="7" t="s">
        <v>2</v>
      </c>
      <c r="E14" s="7">
        <f>0.02908/0.07268</f>
        <v>0.4001100715465053</v>
      </c>
      <c r="I14" s="3"/>
      <c r="J14" s="3"/>
    </row>
    <row r="15" spans="1:10" x14ac:dyDescent="0.35">
      <c r="A15" s="4"/>
      <c r="B15" s="7" t="s">
        <v>83</v>
      </c>
      <c r="C15" s="7">
        <v>0.2278</v>
      </c>
      <c r="D15" s="7"/>
      <c r="E15" s="7"/>
    </row>
    <row r="16" spans="1:10" x14ac:dyDescent="0.35">
      <c r="A16" s="4"/>
      <c r="B16" s="7" t="s">
        <v>84</v>
      </c>
      <c r="C16" s="7">
        <v>4.99E-2</v>
      </c>
      <c r="D16" s="7"/>
      <c r="E16" s="7"/>
    </row>
    <row r="17" spans="1:9" x14ac:dyDescent="0.35">
      <c r="A17" s="4"/>
      <c r="B17" s="4"/>
      <c r="C17" s="18"/>
      <c r="D17" s="7"/>
      <c r="E17" s="7"/>
    </row>
    <row r="18" spans="1:9" ht="13.15" x14ac:dyDescent="0.35">
      <c r="A18" s="5" t="s">
        <v>85</v>
      </c>
      <c r="B18" s="7" t="s">
        <v>82</v>
      </c>
      <c r="C18" s="7">
        <v>1.1999999999999999E-3</v>
      </c>
      <c r="D18" s="7" t="s">
        <v>2</v>
      </c>
      <c r="E18" s="7">
        <f>0.5958/1.168</f>
        <v>0.51010273972602738</v>
      </c>
    </row>
    <row r="19" spans="1:9" x14ac:dyDescent="0.35">
      <c r="A19" s="4"/>
      <c r="B19" s="7" t="s">
        <v>83</v>
      </c>
      <c r="C19" s="7">
        <v>0.27900000000000003</v>
      </c>
      <c r="D19" s="7"/>
      <c r="E19" s="7"/>
      <c r="I19" s="3"/>
    </row>
    <row r="20" spans="1:9" x14ac:dyDescent="0.35">
      <c r="A20" s="4"/>
      <c r="B20" s="7" t="s">
        <v>84</v>
      </c>
      <c r="C20" s="7">
        <v>3.7199999999999997E-2</v>
      </c>
      <c r="D20" s="7"/>
      <c r="E20" s="7"/>
    </row>
    <row r="21" spans="1:9" x14ac:dyDescent="0.4">
      <c r="A21" s="4"/>
      <c r="B21" s="4"/>
      <c r="C21" s="4"/>
      <c r="D21" s="4"/>
      <c r="E21" s="4"/>
    </row>
    <row r="22" spans="1:9" ht="13.9" x14ac:dyDescent="0.4">
      <c r="A22" s="5" t="s">
        <v>92</v>
      </c>
      <c r="B22" s="28" t="s">
        <v>23</v>
      </c>
      <c r="C22" s="32"/>
      <c r="D22" s="32"/>
      <c r="E22" s="32"/>
      <c r="I22" s="3"/>
    </row>
    <row r="23" spans="1:9" x14ac:dyDescent="0.35">
      <c r="B23" s="7" t="s">
        <v>66</v>
      </c>
      <c r="C23" s="7">
        <v>0.53879999999999995</v>
      </c>
      <c r="D23" s="6" t="s">
        <v>2</v>
      </c>
      <c r="E23" s="6">
        <f>0.01917/0.121</f>
        <v>0.1584297520661157</v>
      </c>
    </row>
    <row r="24" spans="1:9" x14ac:dyDescent="0.35">
      <c r="A24" s="4"/>
      <c r="B24" s="7" t="s">
        <v>68</v>
      </c>
      <c r="C24" s="7">
        <v>0.99819999999999998</v>
      </c>
      <c r="D24" s="4"/>
      <c r="E24" s="4"/>
    </row>
    <row r="25" spans="1:9" x14ac:dyDescent="0.35">
      <c r="A25" s="4"/>
      <c r="B25" s="7" t="s">
        <v>67</v>
      </c>
      <c r="C25" s="7">
        <v>0.50719999999999998</v>
      </c>
      <c r="D25" s="4"/>
      <c r="E25" s="4"/>
    </row>
    <row r="26" spans="1:9" ht="13.9" x14ac:dyDescent="0.4">
      <c r="A26" s="4"/>
      <c r="B26" s="33" t="s">
        <v>24</v>
      </c>
      <c r="C26" s="36"/>
      <c r="D26" s="36"/>
      <c r="E26" s="37"/>
    </row>
    <row r="27" spans="1:9" x14ac:dyDescent="0.35">
      <c r="A27" s="4"/>
      <c r="B27" s="7" t="s">
        <v>66</v>
      </c>
      <c r="C27" s="7">
        <v>0.87780000000000002</v>
      </c>
      <c r="D27" s="6" t="s">
        <v>2</v>
      </c>
      <c r="E27" s="6">
        <f>0.0004598/0.01244</f>
        <v>3.6961414790996787E-2</v>
      </c>
    </row>
    <row r="28" spans="1:9" x14ac:dyDescent="0.35">
      <c r="A28" s="4"/>
      <c r="B28" s="7" t="s">
        <v>68</v>
      </c>
      <c r="C28" s="7">
        <v>0.99929999999999997</v>
      </c>
      <c r="D28" s="4"/>
      <c r="E28" s="4"/>
    </row>
    <row r="29" spans="1:9" x14ac:dyDescent="0.35">
      <c r="A29" s="4"/>
      <c r="B29" s="7" t="s">
        <v>67</v>
      </c>
      <c r="C29" s="7">
        <v>0.86080000000000001</v>
      </c>
      <c r="D29" s="4"/>
      <c r="E29" s="4"/>
    </row>
    <row r="30" spans="1:9" ht="13.9" x14ac:dyDescent="0.4">
      <c r="A30" s="4"/>
      <c r="B30" s="33" t="s">
        <v>25</v>
      </c>
      <c r="C30" s="34"/>
      <c r="D30" s="34"/>
      <c r="E30" s="35"/>
    </row>
    <row r="31" spans="1:9" x14ac:dyDescent="0.35">
      <c r="A31" s="4"/>
      <c r="B31" s="7" t="s">
        <v>66</v>
      </c>
      <c r="C31" s="7">
        <v>0.01</v>
      </c>
      <c r="D31" s="6" t="s">
        <v>2</v>
      </c>
      <c r="E31" s="6">
        <f>0.9631/1.351</f>
        <v>0.71287934863064395</v>
      </c>
    </row>
    <row r="32" spans="1:9" x14ac:dyDescent="0.35">
      <c r="A32" s="4"/>
      <c r="B32" s="7" t="s">
        <v>68</v>
      </c>
      <c r="C32" s="7">
        <v>0.88500000000000001</v>
      </c>
      <c r="D32" s="4"/>
      <c r="E32" s="4"/>
    </row>
    <row r="33" spans="1:5" x14ac:dyDescent="0.35">
      <c r="A33" s="4"/>
      <c r="B33" s="7" t="s">
        <v>67</v>
      </c>
      <c r="C33" s="7">
        <v>5.0000000000000001E-3</v>
      </c>
      <c r="D33" s="4"/>
      <c r="E33" s="4"/>
    </row>
    <row r="34" spans="1:5" x14ac:dyDescent="0.35">
      <c r="A34" s="4"/>
      <c r="B34" s="24"/>
      <c r="C34" s="25"/>
      <c r="D34" s="11"/>
      <c r="E34" s="26"/>
    </row>
    <row r="35" spans="1:5" ht="13.9" x14ac:dyDescent="0.4">
      <c r="A35" s="5" t="s">
        <v>93</v>
      </c>
      <c r="B35" s="33" t="s">
        <v>73</v>
      </c>
      <c r="C35" s="34"/>
      <c r="D35" s="34"/>
      <c r="E35" s="35"/>
    </row>
    <row r="36" spans="1:5" x14ac:dyDescent="0.35">
      <c r="B36" s="7" t="s">
        <v>66</v>
      </c>
      <c r="C36" s="7">
        <v>3.0300000000000001E-2</v>
      </c>
      <c r="D36" s="6" t="s">
        <v>2</v>
      </c>
      <c r="E36" s="6">
        <f>50.2/86.59</f>
        <v>0.57974361935558383</v>
      </c>
    </row>
    <row r="37" spans="1:5" x14ac:dyDescent="0.35">
      <c r="A37" s="4"/>
      <c r="B37" s="7" t="s">
        <v>68</v>
      </c>
      <c r="C37" s="7">
        <v>0.99080000000000001</v>
      </c>
      <c r="D37" s="4"/>
      <c r="E37" s="4"/>
    </row>
    <row r="38" spans="1:5" x14ac:dyDescent="0.35">
      <c r="A38" s="4"/>
      <c r="B38" s="7" t="s">
        <v>67</v>
      </c>
      <c r="C38" s="7">
        <v>3.6999999999999998E-2</v>
      </c>
      <c r="D38" s="4"/>
      <c r="E38" s="4"/>
    </row>
    <row r="39" spans="1:5" ht="13.9" x14ac:dyDescent="0.4">
      <c r="A39" s="4"/>
      <c r="B39" s="33" t="s">
        <v>24</v>
      </c>
      <c r="C39" s="34"/>
      <c r="D39" s="34"/>
      <c r="E39" s="35"/>
    </row>
    <row r="40" spans="1:5" x14ac:dyDescent="0.35">
      <c r="A40" s="4"/>
      <c r="B40" s="7" t="s">
        <v>66</v>
      </c>
      <c r="C40" s="7">
        <v>0.77070000000000005</v>
      </c>
      <c r="D40" s="6" t="s">
        <v>2</v>
      </c>
      <c r="E40" s="6">
        <f>2.026/25.07</f>
        <v>8.0813721579577169E-2</v>
      </c>
    </row>
    <row r="41" spans="1:5" x14ac:dyDescent="0.35">
      <c r="A41" s="4"/>
      <c r="B41" s="7" t="s">
        <v>68</v>
      </c>
      <c r="C41" s="7">
        <v>0.69679999999999997</v>
      </c>
      <c r="D41" s="4"/>
      <c r="E41" s="4"/>
    </row>
    <row r="42" spans="1:5" x14ac:dyDescent="0.35">
      <c r="A42" s="4"/>
      <c r="B42" s="7" t="s">
        <v>67</v>
      </c>
      <c r="C42" s="7">
        <v>0.9909</v>
      </c>
      <c r="D42" s="4"/>
      <c r="E42" s="4"/>
    </row>
    <row r="43" spans="1:5" ht="13.9" x14ac:dyDescent="0.4">
      <c r="A43" s="4"/>
      <c r="B43" s="33" t="s">
        <v>25</v>
      </c>
      <c r="C43" s="34"/>
      <c r="D43" s="34"/>
      <c r="E43" s="35"/>
    </row>
    <row r="44" spans="1:5" x14ac:dyDescent="0.35">
      <c r="A44" s="4"/>
      <c r="B44" s="7" t="s">
        <v>66</v>
      </c>
      <c r="C44" s="7">
        <v>2.9999999999999997E-4</v>
      </c>
      <c r="D44" s="6" t="s">
        <v>2</v>
      </c>
      <c r="E44" s="6">
        <f>304.8/370.9</f>
        <v>0.82178484766783511</v>
      </c>
    </row>
    <row r="45" spans="1:5" x14ac:dyDescent="0.35">
      <c r="A45" s="4"/>
      <c r="B45" s="7" t="s">
        <v>68</v>
      </c>
      <c r="C45" s="7">
        <v>3.4299999999999997E-2</v>
      </c>
      <c r="D45" s="4"/>
      <c r="E45" s="4"/>
    </row>
    <row r="46" spans="1:5" x14ac:dyDescent="0.35">
      <c r="A46" s="4"/>
      <c r="B46" s="7" t="s">
        <v>67</v>
      </c>
      <c r="C46" s="7">
        <v>1.9400000000000001E-2</v>
      </c>
      <c r="D46" s="4"/>
      <c r="E46" s="4"/>
    </row>
    <row r="47" spans="1:5" x14ac:dyDescent="0.4">
      <c r="A47" s="4"/>
      <c r="B47" s="4"/>
      <c r="C47" s="4"/>
      <c r="D47" s="4"/>
      <c r="E47" s="4"/>
    </row>
    <row r="48" spans="1:5" ht="13.9" x14ac:dyDescent="0.4">
      <c r="A48" s="5" t="s">
        <v>22</v>
      </c>
      <c r="B48" s="33" t="s">
        <v>32</v>
      </c>
      <c r="C48" s="34"/>
      <c r="D48" s="34"/>
      <c r="E48" s="35"/>
    </row>
    <row r="49" spans="1:9" x14ac:dyDescent="0.35">
      <c r="A49" s="4"/>
      <c r="B49" s="21" t="s">
        <v>69</v>
      </c>
      <c r="C49" s="22"/>
      <c r="D49" s="6" t="s">
        <v>3</v>
      </c>
      <c r="E49" s="6">
        <f>2.375/(2.375+16.12)</f>
        <v>0.12841308461746417</v>
      </c>
    </row>
    <row r="50" spans="1:9" x14ac:dyDescent="0.4">
      <c r="A50" s="4"/>
      <c r="B50" s="4"/>
      <c r="C50" s="4"/>
      <c r="D50" s="6" t="s">
        <v>4</v>
      </c>
      <c r="E50" s="6">
        <f>1.953/(1.953+16.12)</f>
        <v>0.10806174957118353</v>
      </c>
    </row>
    <row r="51" spans="1:9" x14ac:dyDescent="0.4">
      <c r="A51" s="4"/>
      <c r="B51" s="4"/>
      <c r="C51" s="4"/>
      <c r="D51" s="6" t="s">
        <v>5</v>
      </c>
      <c r="E51" s="6">
        <f>2.807/(2.807+16.12)</f>
        <v>0.1483066518729857</v>
      </c>
    </row>
    <row r="52" spans="1:9" x14ac:dyDescent="0.4">
      <c r="A52" s="4"/>
      <c r="B52" s="4"/>
      <c r="C52" s="4"/>
      <c r="D52" s="4"/>
      <c r="E52" s="4"/>
    </row>
    <row r="53" spans="1:9" ht="13.9" x14ac:dyDescent="0.4">
      <c r="A53" s="4"/>
      <c r="B53" s="33" t="s">
        <v>33</v>
      </c>
      <c r="C53" s="34"/>
      <c r="D53" s="34"/>
      <c r="E53" s="35"/>
    </row>
    <row r="54" spans="1:9" x14ac:dyDescent="0.4">
      <c r="A54" s="4"/>
      <c r="B54" s="8" t="s">
        <v>69</v>
      </c>
      <c r="C54" s="9"/>
      <c r="D54" s="6" t="s">
        <v>3</v>
      </c>
      <c r="E54" s="6">
        <f>1.329/(1.329+54.59)</f>
        <v>2.3766519429889658E-2</v>
      </c>
    </row>
    <row r="55" spans="1:9" x14ac:dyDescent="0.4">
      <c r="A55" s="4"/>
      <c r="B55" s="4"/>
      <c r="C55" s="4"/>
      <c r="D55" s="6" t="s">
        <v>4</v>
      </c>
      <c r="E55" s="6">
        <f>21.38/(21.38+54.59)</f>
        <v>0.28142687903119651</v>
      </c>
    </row>
    <row r="56" spans="1:9" x14ac:dyDescent="0.4">
      <c r="A56" s="4"/>
      <c r="B56" s="4"/>
      <c r="C56" s="4"/>
      <c r="D56" s="6" t="s">
        <v>5</v>
      </c>
      <c r="E56" s="6">
        <f>4.945/(4.945+54.59)</f>
        <v>8.3060384647686239E-2</v>
      </c>
    </row>
    <row r="57" spans="1:9" x14ac:dyDescent="0.4">
      <c r="A57" s="4"/>
      <c r="B57" s="4"/>
      <c r="C57" s="4"/>
      <c r="D57" s="4"/>
      <c r="E57" s="4"/>
      <c r="I57" s="3"/>
    </row>
    <row r="58" spans="1:9" ht="13.9" x14ac:dyDescent="0.4">
      <c r="A58" s="4"/>
      <c r="B58" s="33" t="s">
        <v>34</v>
      </c>
      <c r="C58" s="34"/>
      <c r="D58" s="34"/>
      <c r="E58" s="35"/>
      <c r="I58" s="3"/>
    </row>
    <row r="59" spans="1:9" x14ac:dyDescent="0.4">
      <c r="A59" s="4"/>
      <c r="B59" s="8" t="s">
        <v>69</v>
      </c>
      <c r="C59" s="9"/>
      <c r="D59" s="6" t="s">
        <v>3</v>
      </c>
      <c r="E59" s="6">
        <f>10.92/(10.92+783.2)</f>
        <v>1.3751070367198913E-2</v>
      </c>
    </row>
    <row r="60" spans="1:9" x14ac:dyDescent="0.4">
      <c r="A60" s="4"/>
      <c r="B60" s="9"/>
      <c r="C60" s="8"/>
      <c r="D60" s="6" t="s">
        <v>4</v>
      </c>
      <c r="E60" s="6">
        <f>148.5/(148.5+783.2)</f>
        <v>0.15938606847697756</v>
      </c>
    </row>
    <row r="61" spans="1:9" x14ac:dyDescent="0.4">
      <c r="A61" s="4"/>
      <c r="B61" s="9"/>
      <c r="C61" s="8"/>
      <c r="D61" s="6" t="s">
        <v>5</v>
      </c>
      <c r="E61" s="6">
        <f>339.3/(339.3+783.2)</f>
        <v>0.30227171492204902</v>
      </c>
    </row>
    <row r="62" spans="1:9" x14ac:dyDescent="0.4">
      <c r="A62" s="4"/>
      <c r="B62" s="9"/>
      <c r="C62" s="8"/>
      <c r="D62" s="4"/>
      <c r="E62" s="4"/>
    </row>
    <row r="63" spans="1:9" ht="13.9" x14ac:dyDescent="0.4">
      <c r="A63" s="4"/>
      <c r="B63" s="33" t="s">
        <v>35</v>
      </c>
      <c r="C63" s="34"/>
      <c r="D63" s="34"/>
      <c r="E63" s="35"/>
    </row>
    <row r="64" spans="1:9" x14ac:dyDescent="0.4">
      <c r="A64" s="4"/>
      <c r="B64" s="8" t="s">
        <v>69</v>
      </c>
      <c r="C64" s="9"/>
      <c r="D64" s="6" t="s">
        <v>3</v>
      </c>
      <c r="E64" s="6">
        <f>0.0356/(0.0356+1.275)</f>
        <v>2.716313139020296E-2</v>
      </c>
    </row>
    <row r="65" spans="1:10" x14ac:dyDescent="0.4">
      <c r="A65" s="4"/>
      <c r="B65" s="9"/>
      <c r="C65" s="8"/>
      <c r="D65" s="6" t="s">
        <v>4</v>
      </c>
      <c r="E65" s="6">
        <f>2.095/(2.095+1.275)</f>
        <v>0.62166172106824935</v>
      </c>
      <c r="I65" s="3"/>
      <c r="J65" s="3"/>
    </row>
    <row r="66" spans="1:10" x14ac:dyDescent="0.4">
      <c r="A66" s="4"/>
      <c r="B66" s="9"/>
      <c r="C66" s="8"/>
      <c r="D66" s="6" t="s">
        <v>5</v>
      </c>
      <c r="E66" s="6">
        <f>0.4535/(0.4535+1.275)</f>
        <v>0.26236621347989586</v>
      </c>
      <c r="I66" s="3"/>
      <c r="J66" s="3"/>
    </row>
    <row r="67" spans="1:10" x14ac:dyDescent="0.4">
      <c r="A67" s="4"/>
      <c r="B67" s="9"/>
      <c r="C67" s="8"/>
      <c r="D67" s="4"/>
      <c r="E67" s="4"/>
      <c r="I67" s="3"/>
      <c r="J67" s="3"/>
    </row>
    <row r="68" spans="1:10" ht="13.9" x14ac:dyDescent="0.4">
      <c r="A68" s="4"/>
      <c r="B68" s="33" t="s">
        <v>36</v>
      </c>
      <c r="C68" s="34"/>
      <c r="D68" s="34"/>
      <c r="E68" s="35"/>
      <c r="J68" s="3"/>
    </row>
    <row r="69" spans="1:10" x14ac:dyDescent="0.4">
      <c r="A69" s="4"/>
      <c r="B69" s="8" t="s">
        <v>69</v>
      </c>
      <c r="C69" s="9"/>
      <c r="D69" s="6" t="s">
        <v>3</v>
      </c>
      <c r="E69" s="6">
        <f>0.7796/(0.7796+138)</f>
        <v>5.6175403301349765E-3</v>
      </c>
      <c r="J69" s="3"/>
    </row>
    <row r="70" spans="1:10" x14ac:dyDescent="0.4">
      <c r="A70" s="4"/>
      <c r="B70" s="9"/>
      <c r="C70" s="8"/>
      <c r="D70" s="6" t="s">
        <v>4</v>
      </c>
      <c r="E70" s="6">
        <f>131.8/(131.8+138)</f>
        <v>0.48851000741289846</v>
      </c>
    </row>
    <row r="71" spans="1:10" x14ac:dyDescent="0.4">
      <c r="A71" s="4"/>
      <c r="B71" s="9"/>
      <c r="C71" s="8"/>
      <c r="D71" s="6" t="s">
        <v>5</v>
      </c>
      <c r="E71" s="6">
        <f>48.93/(48.93+138)</f>
        <v>0.26175573744182312</v>
      </c>
    </row>
    <row r="72" spans="1:10" x14ac:dyDescent="0.4">
      <c r="A72" s="4"/>
      <c r="B72" s="9"/>
      <c r="C72" s="8"/>
      <c r="D72" s="4"/>
      <c r="E72" s="4"/>
      <c r="I72" s="3"/>
    </row>
    <row r="73" spans="1:10" ht="13.9" x14ac:dyDescent="0.4">
      <c r="A73" s="4"/>
      <c r="B73" s="33" t="s">
        <v>37</v>
      </c>
      <c r="C73" s="34"/>
      <c r="D73" s="34"/>
      <c r="E73" s="35"/>
      <c r="I73" s="3"/>
    </row>
    <row r="74" spans="1:10" x14ac:dyDescent="0.4">
      <c r="A74" s="4"/>
      <c r="B74" s="8" t="s">
        <v>69</v>
      </c>
      <c r="C74" s="9"/>
      <c r="D74" s="6" t="s">
        <v>3</v>
      </c>
      <c r="E74" s="6">
        <f>0.5801/(0.5801+97.77)</f>
        <v>5.8983163209798458E-3</v>
      </c>
    </row>
    <row r="75" spans="1:10" x14ac:dyDescent="0.4">
      <c r="A75" s="4"/>
      <c r="B75" s="9"/>
      <c r="C75" s="8"/>
      <c r="D75" s="6" t="s">
        <v>4</v>
      </c>
      <c r="E75" s="6">
        <f>18.09/(18.09+97.77)</f>
        <v>0.1561367167270844</v>
      </c>
    </row>
    <row r="76" spans="1:10" x14ac:dyDescent="0.4">
      <c r="A76" s="4"/>
      <c r="B76" s="9"/>
      <c r="C76" s="8"/>
      <c r="D76" s="6" t="s">
        <v>5</v>
      </c>
      <c r="E76" s="6">
        <f>19.86/(19.86+97.77)</f>
        <v>0.16883448099974496</v>
      </c>
    </row>
    <row r="77" spans="1:10" x14ac:dyDescent="0.4">
      <c r="A77" s="4"/>
      <c r="B77" s="9"/>
      <c r="C77" s="8"/>
      <c r="D77" s="4"/>
      <c r="E77" s="4"/>
    </row>
    <row r="78" spans="1:10" ht="13.9" x14ac:dyDescent="0.4">
      <c r="A78" s="4"/>
      <c r="B78" s="33" t="s">
        <v>30</v>
      </c>
      <c r="C78" s="34"/>
      <c r="D78" s="34"/>
      <c r="E78" s="35"/>
    </row>
    <row r="79" spans="1:10" x14ac:dyDescent="0.4">
      <c r="A79" s="4"/>
      <c r="B79" s="8" t="s">
        <v>69</v>
      </c>
      <c r="C79" s="9"/>
      <c r="D79" s="6" t="s">
        <v>3</v>
      </c>
      <c r="E79" s="6">
        <f>10.52/(10.52+34.02)</f>
        <v>0.23619218679838344</v>
      </c>
    </row>
    <row r="80" spans="1:10" x14ac:dyDescent="0.4">
      <c r="A80" s="4"/>
      <c r="B80" s="9"/>
      <c r="C80" s="9"/>
      <c r="D80" s="6" t="s">
        <v>4</v>
      </c>
      <c r="E80" s="6">
        <f>12.85/(12.85+34.02)</f>
        <v>0.27416257734158306</v>
      </c>
    </row>
    <row r="81" spans="1:5" x14ac:dyDescent="0.4">
      <c r="A81" s="4"/>
      <c r="B81" s="9"/>
      <c r="C81" s="9"/>
      <c r="D81" s="6" t="s">
        <v>5</v>
      </c>
      <c r="E81" s="6">
        <f>7.913/(7.913+34.02)</f>
        <v>0.18870579257386783</v>
      </c>
    </row>
    <row r="82" spans="1:5" x14ac:dyDescent="0.4">
      <c r="A82" s="4"/>
      <c r="B82" s="9"/>
      <c r="C82" s="9"/>
      <c r="D82" s="4"/>
      <c r="E82" s="4"/>
    </row>
    <row r="83" spans="1:5" ht="13.9" x14ac:dyDescent="0.4">
      <c r="A83" s="4"/>
      <c r="B83" s="33" t="s">
        <v>31</v>
      </c>
      <c r="C83" s="34"/>
      <c r="D83" s="34"/>
      <c r="E83" s="35"/>
    </row>
    <row r="84" spans="1:5" x14ac:dyDescent="0.4">
      <c r="A84" s="4"/>
      <c r="B84" s="8" t="s">
        <v>69</v>
      </c>
      <c r="C84" s="9"/>
      <c r="D84" s="6" t="s">
        <v>3</v>
      </c>
      <c r="E84" s="6">
        <f>0.04837/(0.04837+0.1841)</f>
        <v>0.20806985847636256</v>
      </c>
    </row>
    <row r="85" spans="1:5" x14ac:dyDescent="0.4">
      <c r="A85" s="4"/>
      <c r="B85" s="4"/>
      <c r="C85" s="4"/>
      <c r="D85" s="6" t="s">
        <v>4</v>
      </c>
      <c r="E85" s="6">
        <f>0.01999/(0.01999+0.1841)</f>
        <v>9.7946984173648874E-2</v>
      </c>
    </row>
    <row r="86" spans="1:5" x14ac:dyDescent="0.4">
      <c r="A86" s="4"/>
      <c r="B86" s="4"/>
      <c r="C86" s="4"/>
      <c r="D86" s="6" t="s">
        <v>5</v>
      </c>
      <c r="E86" s="6">
        <f>0.03565/(0.03565+0.1841)</f>
        <v>0.16222980659840727</v>
      </c>
    </row>
    <row r="87" spans="1:5" x14ac:dyDescent="0.4">
      <c r="A87" s="4"/>
      <c r="B87" s="10"/>
      <c r="C87" s="11"/>
      <c r="D87" s="12"/>
      <c r="E87" s="13"/>
    </row>
    <row r="88" spans="1:5" ht="13.9" x14ac:dyDescent="0.4">
      <c r="A88" s="5" t="s">
        <v>94</v>
      </c>
      <c r="B88" s="33" t="s">
        <v>59</v>
      </c>
      <c r="C88" s="34"/>
      <c r="D88" s="34"/>
      <c r="E88" s="35"/>
    </row>
    <row r="89" spans="1:5" ht="13.15" x14ac:dyDescent="0.35">
      <c r="A89" s="5"/>
      <c r="B89" s="7" t="s">
        <v>66</v>
      </c>
      <c r="C89" s="7">
        <v>2.1299999999999999E-2</v>
      </c>
      <c r="D89" s="6" t="s">
        <v>2</v>
      </c>
      <c r="E89" s="6">
        <f>0.9179/3.469</f>
        <v>0.26460074949553186</v>
      </c>
    </row>
    <row r="90" spans="1:5" x14ac:dyDescent="0.35">
      <c r="A90" s="4"/>
      <c r="B90" s="7" t="s">
        <v>68</v>
      </c>
      <c r="C90" s="7">
        <v>0.95140000000000002</v>
      </c>
      <c r="D90" s="4"/>
      <c r="E90" s="4"/>
    </row>
    <row r="91" spans="1:5" x14ac:dyDescent="0.35">
      <c r="A91" s="4"/>
      <c r="B91" s="7" t="s">
        <v>67</v>
      </c>
      <c r="C91" s="7">
        <v>1.01E-2</v>
      </c>
      <c r="D91" s="4"/>
      <c r="E91" s="4"/>
    </row>
    <row r="92" spans="1:5" ht="13.9" x14ac:dyDescent="0.4">
      <c r="A92" s="4"/>
      <c r="B92" s="33" t="s">
        <v>8</v>
      </c>
      <c r="C92" s="34"/>
      <c r="D92" s="34"/>
      <c r="E92" s="35"/>
    </row>
    <row r="93" spans="1:5" x14ac:dyDescent="0.35">
      <c r="A93" s="4"/>
      <c r="B93" s="7" t="s">
        <v>66</v>
      </c>
      <c r="C93" s="7">
        <v>3.0700000000000002E-2</v>
      </c>
      <c r="D93" s="6" t="s">
        <v>2</v>
      </c>
      <c r="E93" s="6">
        <f>0.8749/3.637</f>
        <v>0.24055540280450921</v>
      </c>
    </row>
    <row r="94" spans="1:5" x14ac:dyDescent="0.35">
      <c r="A94" s="4"/>
      <c r="B94" s="7" t="s">
        <v>68</v>
      </c>
      <c r="C94" s="7">
        <v>0.96689999999999998</v>
      </c>
      <c r="D94" s="4"/>
      <c r="E94" s="4"/>
    </row>
    <row r="95" spans="1:5" x14ac:dyDescent="0.35">
      <c r="A95" s="4"/>
      <c r="B95" s="7" t="s">
        <v>67</v>
      </c>
      <c r="C95" s="7">
        <v>1.7000000000000001E-2</v>
      </c>
      <c r="D95" s="4"/>
      <c r="E95" s="4"/>
    </row>
    <row r="96" spans="1:5" ht="13.9" x14ac:dyDescent="0.4">
      <c r="A96" s="4"/>
      <c r="B96" s="33" t="s">
        <v>26</v>
      </c>
      <c r="C96" s="34"/>
      <c r="D96" s="34"/>
      <c r="E96" s="35"/>
    </row>
    <row r="97" spans="1:5" x14ac:dyDescent="0.35">
      <c r="A97" s="4"/>
      <c r="B97" s="7" t="s">
        <v>66</v>
      </c>
      <c r="C97" s="7">
        <v>3.4500000000000003E-2</v>
      </c>
      <c r="D97" s="6" t="s">
        <v>2</v>
      </c>
      <c r="E97" s="6">
        <f>0.4493/2.143</f>
        <v>0.20965935604293048</v>
      </c>
    </row>
    <row r="98" spans="1:5" x14ac:dyDescent="0.35">
      <c r="A98" s="4"/>
      <c r="B98" s="7" t="s">
        <v>68</v>
      </c>
      <c r="C98" s="7">
        <v>0.99270000000000003</v>
      </c>
      <c r="D98" s="4"/>
      <c r="E98" s="4"/>
    </row>
    <row r="99" spans="1:5" x14ac:dyDescent="0.35">
      <c r="A99" s="4"/>
      <c r="B99" s="7" t="s">
        <v>67</v>
      </c>
      <c r="C99" s="7">
        <v>4.48E-2</v>
      </c>
      <c r="D99" s="4"/>
      <c r="E99" s="4"/>
    </row>
    <row r="100" spans="1:5" ht="13.9" x14ac:dyDescent="0.4">
      <c r="A100" s="4"/>
      <c r="B100" s="33" t="s">
        <v>27</v>
      </c>
      <c r="C100" s="34"/>
      <c r="D100" s="34"/>
      <c r="E100" s="35"/>
    </row>
    <row r="101" spans="1:5" x14ac:dyDescent="0.35">
      <c r="A101" s="4"/>
      <c r="B101" s="7" t="s">
        <v>66</v>
      </c>
      <c r="C101" s="7">
        <v>0.94040000000000001</v>
      </c>
      <c r="D101" s="6" t="s">
        <v>72</v>
      </c>
      <c r="E101" s="6">
        <f>1.6/5.301</f>
        <v>0.30182984342576874</v>
      </c>
    </row>
    <row r="102" spans="1:5" x14ac:dyDescent="0.35">
      <c r="A102" s="4"/>
      <c r="B102" s="7" t="s">
        <v>68</v>
      </c>
      <c r="C102" s="7">
        <v>4.5999999999999999E-3</v>
      </c>
      <c r="D102" s="4"/>
      <c r="E102" s="4"/>
    </row>
    <row r="103" spans="1:5" x14ac:dyDescent="0.35">
      <c r="A103" s="4"/>
      <c r="B103" s="7" t="s">
        <v>67</v>
      </c>
      <c r="C103" s="7">
        <v>1.0999999999999999E-2</v>
      </c>
      <c r="D103" s="4"/>
      <c r="E103" s="4"/>
    </row>
    <row r="104" spans="1:5" ht="13.9" x14ac:dyDescent="0.4">
      <c r="A104" s="4"/>
      <c r="B104" s="33" t="s">
        <v>28</v>
      </c>
      <c r="C104" s="34"/>
      <c r="D104" s="34"/>
      <c r="E104" s="35"/>
    </row>
    <row r="105" spans="1:5" x14ac:dyDescent="0.35">
      <c r="A105" s="4"/>
      <c r="B105" s="7" t="s">
        <v>66</v>
      </c>
      <c r="C105" s="7">
        <v>1.41E-2</v>
      </c>
      <c r="D105" s="6" t="s">
        <v>2</v>
      </c>
      <c r="E105" s="6">
        <f>2.294/8.068</f>
        <v>0.28433316807139319</v>
      </c>
    </row>
    <row r="106" spans="1:5" x14ac:dyDescent="0.35">
      <c r="A106" s="4"/>
      <c r="B106" s="7" t="s">
        <v>68</v>
      </c>
      <c r="C106" s="7">
        <v>0.96020000000000005</v>
      </c>
      <c r="D106" s="4"/>
      <c r="E106" s="4"/>
    </row>
    <row r="107" spans="1:5" x14ac:dyDescent="0.35">
      <c r="A107" s="4"/>
      <c r="B107" s="7" t="s">
        <v>67</v>
      </c>
      <c r="C107" s="7">
        <v>7.1000000000000004E-3</v>
      </c>
      <c r="D107" s="4"/>
      <c r="E107" s="4"/>
    </row>
    <row r="108" spans="1:5" ht="13.9" x14ac:dyDescent="0.4">
      <c r="A108" s="4"/>
      <c r="B108" s="33" t="s">
        <v>29</v>
      </c>
      <c r="C108" s="34"/>
      <c r="D108" s="34"/>
      <c r="E108" s="35"/>
    </row>
    <row r="109" spans="1:5" x14ac:dyDescent="0.35">
      <c r="A109" s="4"/>
      <c r="B109" s="7" t="s">
        <v>66</v>
      </c>
      <c r="C109" s="7">
        <v>8.6999999999999994E-3</v>
      </c>
      <c r="D109" s="6" t="s">
        <v>2</v>
      </c>
      <c r="E109" s="6">
        <f>0.6726/2.511</f>
        <v>0.26786140979689366</v>
      </c>
    </row>
    <row r="110" spans="1:5" x14ac:dyDescent="0.35">
      <c r="A110" s="4"/>
      <c r="B110" s="7" t="s">
        <v>68</v>
      </c>
      <c r="C110" s="7">
        <v>0.92169999999999996</v>
      </c>
      <c r="D110" s="4"/>
      <c r="E110" s="4"/>
    </row>
    <row r="111" spans="1:5" x14ac:dyDescent="0.35">
      <c r="A111" s="4"/>
      <c r="B111" s="7" t="s">
        <v>67</v>
      </c>
      <c r="C111" s="7">
        <v>2.2599999999999999E-2</v>
      </c>
      <c r="D111" s="4"/>
      <c r="E111" s="4"/>
    </row>
    <row r="112" spans="1:5" x14ac:dyDescent="0.4">
      <c r="A112" s="4"/>
      <c r="B112" s="4"/>
      <c r="C112" s="4"/>
      <c r="D112" s="4"/>
      <c r="E112" s="4"/>
    </row>
    <row r="113" spans="1:5" ht="13.9" x14ac:dyDescent="0.4">
      <c r="A113" s="5" t="s">
        <v>95</v>
      </c>
      <c r="B113" s="28" t="s">
        <v>89</v>
      </c>
      <c r="C113" s="32"/>
      <c r="D113" s="32"/>
      <c r="E113" s="32"/>
    </row>
    <row r="114" spans="1:5" ht="13.15" x14ac:dyDescent="0.35">
      <c r="A114" s="5"/>
      <c r="B114" s="7" t="s">
        <v>66</v>
      </c>
      <c r="C114" s="7">
        <v>3.9100000000000003E-2</v>
      </c>
      <c r="D114" s="6" t="s">
        <v>2</v>
      </c>
      <c r="E114" s="6">
        <f>29.53/86</f>
        <v>0.34337209302325583</v>
      </c>
    </row>
    <row r="115" spans="1:5" x14ac:dyDescent="0.35">
      <c r="A115" s="4"/>
      <c r="B115" s="7" t="s">
        <v>68</v>
      </c>
      <c r="C115" s="7">
        <v>0.1065</v>
      </c>
      <c r="D115" s="4"/>
      <c r="E115" s="4"/>
    </row>
    <row r="116" spans="1:5" x14ac:dyDescent="0.35">
      <c r="A116" s="4"/>
      <c r="B116" s="7" t="s">
        <v>67</v>
      </c>
      <c r="C116" s="7">
        <v>2.0000000000000001E-4</v>
      </c>
      <c r="D116" s="4"/>
      <c r="E116" s="4"/>
    </row>
    <row r="117" spans="1:5" ht="13.9" x14ac:dyDescent="0.4">
      <c r="A117" s="4"/>
      <c r="B117" s="28" t="s">
        <v>90</v>
      </c>
      <c r="C117" s="29"/>
      <c r="D117" s="29"/>
      <c r="E117" s="29"/>
    </row>
    <row r="118" spans="1:5" x14ac:dyDescent="0.35">
      <c r="A118" s="4"/>
      <c r="B118" s="7" t="s">
        <v>66</v>
      </c>
      <c r="C118" s="7">
        <v>0.56720000000000004</v>
      </c>
      <c r="D118" s="6" t="s">
        <v>2</v>
      </c>
      <c r="E118" s="6">
        <f>2346/32686</f>
        <v>7.1773848130698162E-2</v>
      </c>
    </row>
    <row r="119" spans="1:5" x14ac:dyDescent="0.35">
      <c r="A119" s="4"/>
      <c r="B119" s="7" t="s">
        <v>68</v>
      </c>
      <c r="C119" s="7">
        <v>0.23719999999999999</v>
      </c>
      <c r="D119" s="4"/>
      <c r="E119" s="4"/>
    </row>
    <row r="120" spans="1:5" x14ac:dyDescent="0.35">
      <c r="A120" s="4"/>
      <c r="B120" s="7" t="s">
        <v>67</v>
      </c>
      <c r="C120" s="7">
        <v>0.83330000000000004</v>
      </c>
      <c r="D120" s="4"/>
      <c r="E120" s="4"/>
    </row>
    <row r="121" spans="1:5" ht="13.9" x14ac:dyDescent="0.4">
      <c r="A121" s="4"/>
      <c r="B121" s="28" t="s">
        <v>91</v>
      </c>
      <c r="C121" s="29"/>
      <c r="D121" s="29"/>
      <c r="E121" s="29"/>
    </row>
    <row r="122" spans="1:5" x14ac:dyDescent="0.35">
      <c r="A122" s="4"/>
      <c r="B122" s="7" t="s">
        <v>66</v>
      </c>
      <c r="C122" s="7">
        <v>8.0000000000000004E-4</v>
      </c>
      <c r="D122" s="6" t="s">
        <v>2</v>
      </c>
      <c r="E122" s="6">
        <f>457.2/1291</f>
        <v>0.35414407436096051</v>
      </c>
    </row>
    <row r="123" spans="1:5" x14ac:dyDescent="0.35">
      <c r="A123" s="4"/>
      <c r="B123" s="7" t="s">
        <v>68</v>
      </c>
      <c r="C123" s="7">
        <v>0.96899999999999997</v>
      </c>
      <c r="D123" s="4"/>
      <c r="E123" s="4"/>
    </row>
    <row r="124" spans="1:5" x14ac:dyDescent="0.35">
      <c r="A124" s="4"/>
      <c r="B124" s="7" t="s">
        <v>67</v>
      </c>
      <c r="C124" s="7">
        <v>1.4E-3</v>
      </c>
      <c r="D124" s="4"/>
      <c r="E124" s="4"/>
    </row>
  </sheetData>
  <mergeCells count="25">
    <mergeCell ref="B83:E83"/>
    <mergeCell ref="B108:E108"/>
    <mergeCell ref="B113:E113"/>
    <mergeCell ref="B121:E121"/>
    <mergeCell ref="B88:E88"/>
    <mergeCell ref="B92:E92"/>
    <mergeCell ref="B96:E96"/>
    <mergeCell ref="B100:E100"/>
    <mergeCell ref="B104:E104"/>
    <mergeCell ref="B117:E117"/>
    <mergeCell ref="B1:C1"/>
    <mergeCell ref="D1:E1"/>
    <mergeCell ref="B22:E22"/>
    <mergeCell ref="B26:E26"/>
    <mergeCell ref="B35:E35"/>
    <mergeCell ref="B30:E30"/>
    <mergeCell ref="B63:E63"/>
    <mergeCell ref="B68:E68"/>
    <mergeCell ref="B73:E73"/>
    <mergeCell ref="B78:E78"/>
    <mergeCell ref="B39:E39"/>
    <mergeCell ref="B43:E43"/>
    <mergeCell ref="B48:E48"/>
    <mergeCell ref="B53:E53"/>
    <mergeCell ref="B58:E5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52E37-331C-4B32-8FC3-11365F37666D}">
  <dimension ref="A1:E71"/>
  <sheetViews>
    <sheetView workbookViewId="0">
      <selection activeCell="G64" sqref="G64"/>
    </sheetView>
  </sheetViews>
  <sheetFormatPr defaultRowHeight="13.9" x14ac:dyDescent="0.4"/>
  <cols>
    <col min="1" max="1" width="11.3984375" style="1" customWidth="1"/>
    <col min="2" max="2" width="25.265625" style="1" customWidth="1"/>
    <col min="3" max="3" width="15.86328125" style="1" customWidth="1"/>
    <col min="4" max="4" width="18.19921875" style="1" customWidth="1"/>
    <col min="5" max="5" width="14.33203125" style="1" customWidth="1"/>
    <col min="6" max="16384" width="9.06640625" style="1"/>
  </cols>
  <sheetData>
    <row r="1" spans="1:5" x14ac:dyDescent="0.4">
      <c r="A1" s="16"/>
      <c r="B1" s="30" t="s">
        <v>57</v>
      </c>
      <c r="C1" s="31"/>
      <c r="D1" s="30" t="s">
        <v>71</v>
      </c>
      <c r="E1" s="31"/>
    </row>
    <row r="2" spans="1:5" x14ac:dyDescent="0.4">
      <c r="A2" s="15" t="s">
        <v>1</v>
      </c>
      <c r="B2" s="33" t="s">
        <v>32</v>
      </c>
      <c r="C2" s="36"/>
      <c r="D2" s="36"/>
      <c r="E2" s="37"/>
    </row>
    <row r="3" spans="1:5" x14ac:dyDescent="0.35">
      <c r="B3" s="38" t="s">
        <v>69</v>
      </c>
      <c r="C3" s="39"/>
      <c r="D3" s="6" t="s">
        <v>3</v>
      </c>
      <c r="E3" s="6">
        <f>12.24/(12.24+27.57)</f>
        <v>0.30746043707611154</v>
      </c>
    </row>
    <row r="4" spans="1:5" x14ac:dyDescent="0.4">
      <c r="A4" s="16"/>
      <c r="B4" s="6"/>
      <c r="C4" s="6"/>
      <c r="D4" s="6" t="s">
        <v>4</v>
      </c>
      <c r="E4" s="6">
        <f>8.012/(8.012+27.57)</f>
        <v>0.22517002979034345</v>
      </c>
    </row>
    <row r="5" spans="1:5" x14ac:dyDescent="0.4">
      <c r="A5" s="16"/>
      <c r="B5" s="6"/>
      <c r="C5" s="6"/>
      <c r="D5" s="6" t="s">
        <v>5</v>
      </c>
      <c r="E5" s="6">
        <f>3.337/(3.337+27.57)</f>
        <v>0.10796906849581002</v>
      </c>
    </row>
    <row r="6" spans="1:5" x14ac:dyDescent="0.4">
      <c r="A6" s="16"/>
      <c r="B6" s="33" t="s">
        <v>33</v>
      </c>
      <c r="C6" s="36"/>
      <c r="D6" s="36"/>
      <c r="E6" s="37"/>
    </row>
    <row r="7" spans="1:5" x14ac:dyDescent="0.35">
      <c r="A7" s="16"/>
      <c r="B7" s="38" t="s">
        <v>69</v>
      </c>
      <c r="C7" s="39"/>
      <c r="D7" s="6" t="s">
        <v>3</v>
      </c>
      <c r="E7" s="6">
        <f>10.26/(10.26+42.91)</f>
        <v>0.19296595824713186</v>
      </c>
    </row>
    <row r="8" spans="1:5" x14ac:dyDescent="0.4">
      <c r="A8" s="16"/>
      <c r="B8" s="6"/>
      <c r="C8" s="6"/>
      <c r="D8" s="6" t="s">
        <v>4</v>
      </c>
      <c r="E8" s="6">
        <f>178.6/(178.6+42.91)</f>
        <v>0.80628414067085008</v>
      </c>
    </row>
    <row r="9" spans="1:5" x14ac:dyDescent="0.4">
      <c r="A9" s="16"/>
      <c r="B9" s="6"/>
      <c r="C9" s="6"/>
      <c r="D9" s="6" t="s">
        <v>5</v>
      </c>
      <c r="E9" s="6">
        <f>7.148/(7.148+42.91)</f>
        <v>0.14279435854408887</v>
      </c>
    </row>
    <row r="10" spans="1:5" x14ac:dyDescent="0.4">
      <c r="A10" s="16"/>
      <c r="B10" s="33" t="s">
        <v>34</v>
      </c>
      <c r="C10" s="36"/>
      <c r="D10" s="36"/>
      <c r="E10" s="37"/>
    </row>
    <row r="11" spans="1:5" x14ac:dyDescent="0.35">
      <c r="A11" s="16"/>
      <c r="B11" s="38" t="s">
        <v>69</v>
      </c>
      <c r="C11" s="39"/>
      <c r="D11" s="6" t="s">
        <v>3</v>
      </c>
      <c r="E11" s="6">
        <f>16.62/(16.62+90.49)</f>
        <v>0.15516758472598263</v>
      </c>
    </row>
    <row r="12" spans="1:5" x14ac:dyDescent="0.4">
      <c r="A12" s="16"/>
      <c r="B12" s="6"/>
      <c r="C12" s="6"/>
      <c r="D12" s="6" t="s">
        <v>4</v>
      </c>
      <c r="E12" s="6">
        <f>107.6/(107.6+90.49)</f>
        <v>0.54318744005250141</v>
      </c>
    </row>
    <row r="13" spans="1:5" x14ac:dyDescent="0.4">
      <c r="A13" s="16"/>
      <c r="B13" s="6"/>
      <c r="C13" s="6"/>
      <c r="D13" s="6" t="s">
        <v>5</v>
      </c>
      <c r="E13" s="6">
        <f>28.33/(28.33+90.49)</f>
        <v>0.23842787409527016</v>
      </c>
    </row>
    <row r="14" spans="1:5" x14ac:dyDescent="0.4">
      <c r="A14" s="16"/>
      <c r="B14" s="33" t="s">
        <v>35</v>
      </c>
      <c r="C14" s="36"/>
      <c r="D14" s="36"/>
      <c r="E14" s="37"/>
    </row>
    <row r="15" spans="1:5" x14ac:dyDescent="0.35">
      <c r="A15" s="16"/>
      <c r="B15" s="38" t="s">
        <v>69</v>
      </c>
      <c r="C15" s="39"/>
      <c r="D15" s="6" t="s">
        <v>3</v>
      </c>
      <c r="E15" s="6">
        <f>2.679/(2.679+9.472)</f>
        <v>0.2204756810139083</v>
      </c>
    </row>
    <row r="16" spans="1:5" x14ac:dyDescent="0.4">
      <c r="A16" s="16"/>
      <c r="B16" s="6"/>
      <c r="C16" s="6"/>
      <c r="D16" s="6" t="s">
        <v>4</v>
      </c>
      <c r="E16" s="6">
        <f>68.87/(68.87+9.472)</f>
        <v>0.879094227872661</v>
      </c>
    </row>
    <row r="17" spans="1:5" x14ac:dyDescent="0.4">
      <c r="A17" s="16"/>
      <c r="B17" s="6"/>
      <c r="C17" s="6"/>
      <c r="D17" s="6" t="s">
        <v>5</v>
      </c>
      <c r="E17" s="6">
        <f>3.53/(3.53+9.472)</f>
        <v>0.2714966928164898</v>
      </c>
    </row>
    <row r="18" spans="1:5" x14ac:dyDescent="0.4">
      <c r="A18" s="16"/>
      <c r="B18" s="33" t="s">
        <v>36</v>
      </c>
      <c r="C18" s="36"/>
      <c r="D18" s="36"/>
      <c r="E18" s="37"/>
    </row>
    <row r="19" spans="1:5" x14ac:dyDescent="0.35">
      <c r="A19" s="16"/>
      <c r="B19" s="6" t="s">
        <v>76</v>
      </c>
      <c r="C19" s="7">
        <v>2E-3</v>
      </c>
      <c r="D19" s="6" t="s">
        <v>3</v>
      </c>
      <c r="E19" s="6">
        <f>3.19/(3.19+46.64)</f>
        <v>6.4017660044150118E-2</v>
      </c>
    </row>
    <row r="20" spans="1:5" x14ac:dyDescent="0.35">
      <c r="A20" s="16"/>
      <c r="B20" s="6" t="s">
        <v>77</v>
      </c>
      <c r="C20" s="7">
        <v>0.3085</v>
      </c>
      <c r="D20" s="6" t="s">
        <v>4</v>
      </c>
      <c r="E20" s="6">
        <f>403.6/(403.6+46.64)</f>
        <v>0.8964108031272211</v>
      </c>
    </row>
    <row r="21" spans="1:5" x14ac:dyDescent="0.4">
      <c r="A21" s="16"/>
      <c r="B21" s="6"/>
      <c r="C21" s="6"/>
      <c r="D21" s="6" t="s">
        <v>5</v>
      </c>
      <c r="E21" s="6">
        <f>38.09/(38.09+46.64)</f>
        <v>0.44954561548448013</v>
      </c>
    </row>
    <row r="22" spans="1:5" x14ac:dyDescent="0.4">
      <c r="A22" s="16"/>
      <c r="B22" s="33" t="s">
        <v>37</v>
      </c>
      <c r="C22" s="36"/>
      <c r="D22" s="36"/>
      <c r="E22" s="37"/>
    </row>
    <row r="23" spans="1:5" x14ac:dyDescent="0.35">
      <c r="A23" s="16"/>
      <c r="B23" s="6" t="s">
        <v>58</v>
      </c>
      <c r="C23" s="7">
        <v>8.0999999999999996E-3</v>
      </c>
      <c r="D23" s="6" t="s">
        <v>3</v>
      </c>
      <c r="E23" s="6">
        <f>27.55/(27.55+147.3)</f>
        <v>0.15756362596511295</v>
      </c>
    </row>
    <row r="24" spans="1:5" x14ac:dyDescent="0.35">
      <c r="A24" s="16"/>
      <c r="B24" s="6" t="s">
        <v>61</v>
      </c>
      <c r="C24" s="7">
        <v>0.4037</v>
      </c>
      <c r="D24" s="6" t="s">
        <v>4</v>
      </c>
      <c r="E24" s="6">
        <f>100.3/(100.3+147.3)</f>
        <v>0.40508885298869141</v>
      </c>
    </row>
    <row r="25" spans="1:5" x14ac:dyDescent="0.4">
      <c r="A25" s="16"/>
      <c r="B25" s="6"/>
      <c r="C25" s="6"/>
      <c r="D25" s="6" t="s">
        <v>5</v>
      </c>
      <c r="E25" s="6">
        <f>68.41/(68.41+147.3)</f>
        <v>0.31713875110101525</v>
      </c>
    </row>
    <row r="26" spans="1:5" x14ac:dyDescent="0.4">
      <c r="A26" s="16"/>
      <c r="B26" s="33" t="s">
        <v>30</v>
      </c>
      <c r="C26" s="36"/>
      <c r="D26" s="36"/>
      <c r="E26" s="37"/>
    </row>
    <row r="27" spans="1:5" x14ac:dyDescent="0.35">
      <c r="A27" s="16"/>
      <c r="B27" s="38" t="s">
        <v>69</v>
      </c>
      <c r="C27" s="39"/>
      <c r="D27" s="6" t="s">
        <v>3</v>
      </c>
      <c r="E27" s="6">
        <f>2.745/(2.745+7.114)</f>
        <v>0.27842580383406024</v>
      </c>
    </row>
    <row r="28" spans="1:5" x14ac:dyDescent="0.4">
      <c r="A28" s="16"/>
      <c r="B28" s="6"/>
      <c r="C28" s="6"/>
      <c r="D28" s="6" t="s">
        <v>4</v>
      </c>
      <c r="E28" s="6">
        <f>0.9714/(0.9714+7.114)</f>
        <v>0.12014247903628764</v>
      </c>
    </row>
    <row r="29" spans="1:5" x14ac:dyDescent="0.4">
      <c r="A29" s="16"/>
      <c r="B29" s="6"/>
      <c r="C29" s="6"/>
      <c r="D29" s="6" t="s">
        <v>5</v>
      </c>
      <c r="E29" s="6">
        <f>2/(2+7.114)</f>
        <v>0.21944261575597979</v>
      </c>
    </row>
    <row r="30" spans="1:5" x14ac:dyDescent="0.4">
      <c r="A30" s="16"/>
      <c r="B30" s="33" t="s">
        <v>31</v>
      </c>
      <c r="C30" s="36"/>
      <c r="D30" s="36"/>
      <c r="E30" s="37"/>
    </row>
    <row r="31" spans="1:5" x14ac:dyDescent="0.35">
      <c r="A31" s="16"/>
      <c r="B31" s="38" t="s">
        <v>69</v>
      </c>
      <c r="C31" s="39"/>
      <c r="D31" s="6" t="s">
        <v>3</v>
      </c>
      <c r="E31" s="6">
        <f>0.09977/(0.09977+1.63)</f>
        <v>5.7678188429675627E-2</v>
      </c>
    </row>
    <row r="32" spans="1:5" x14ac:dyDescent="0.4">
      <c r="A32" s="16"/>
      <c r="B32" s="6"/>
      <c r="C32" s="6"/>
      <c r="D32" s="6" t="s">
        <v>4</v>
      </c>
      <c r="E32" s="6">
        <f>0.3513/(0.3513+1.63)</f>
        <v>0.17730782819361027</v>
      </c>
    </row>
    <row r="33" spans="1:5" x14ac:dyDescent="0.4">
      <c r="A33" s="16"/>
      <c r="B33" s="6"/>
      <c r="C33" s="6"/>
      <c r="D33" s="6" t="s">
        <v>5</v>
      </c>
      <c r="E33" s="6">
        <f>0.3706/(0.3706+1.63)</f>
        <v>0.18524442667199839</v>
      </c>
    </row>
    <row r="34" spans="1:5" x14ac:dyDescent="0.4">
      <c r="A34" s="16"/>
      <c r="B34" s="6"/>
      <c r="C34" s="6"/>
      <c r="D34" s="6"/>
      <c r="E34" s="6"/>
    </row>
    <row r="35" spans="1:5" x14ac:dyDescent="0.4">
      <c r="A35" s="15" t="s">
        <v>38</v>
      </c>
      <c r="B35" s="33" t="s">
        <v>6</v>
      </c>
      <c r="C35" s="36"/>
      <c r="D35" s="36"/>
      <c r="E35" s="37"/>
    </row>
    <row r="36" spans="1:5" x14ac:dyDescent="0.35">
      <c r="A36" s="16"/>
      <c r="B36" s="7" t="s">
        <v>66</v>
      </c>
      <c r="C36" s="7">
        <v>1.2200000000000001E-2</v>
      </c>
      <c r="D36" s="6" t="s">
        <v>2</v>
      </c>
      <c r="E36" s="6">
        <f>1.334/5.946</f>
        <v>0.22435250588631014</v>
      </c>
    </row>
    <row r="37" spans="1:5" x14ac:dyDescent="0.35">
      <c r="A37" s="16"/>
      <c r="B37" s="7" t="s">
        <v>68</v>
      </c>
      <c r="C37" s="7">
        <v>0.95430000000000004</v>
      </c>
      <c r="D37" s="6"/>
      <c r="E37" s="6"/>
    </row>
    <row r="38" spans="1:5" x14ac:dyDescent="0.35">
      <c r="A38" s="16"/>
      <c r="B38" s="7" t="s">
        <v>67</v>
      </c>
      <c r="C38" s="7">
        <v>2.5000000000000001E-2</v>
      </c>
      <c r="D38" s="6"/>
      <c r="E38" s="6"/>
    </row>
    <row r="39" spans="1:5" x14ac:dyDescent="0.4">
      <c r="A39" s="16"/>
      <c r="B39" s="33" t="s">
        <v>7</v>
      </c>
      <c r="C39" s="36"/>
      <c r="D39" s="36"/>
      <c r="E39" s="37"/>
    </row>
    <row r="40" spans="1:5" x14ac:dyDescent="0.35">
      <c r="A40" s="16"/>
      <c r="B40" s="7" t="s">
        <v>66</v>
      </c>
      <c r="C40" s="7">
        <v>0.1691</v>
      </c>
      <c r="D40" s="6" t="s">
        <v>2</v>
      </c>
      <c r="E40" s="6">
        <f>0.4721/2.346</f>
        <v>0.20123614663256606</v>
      </c>
    </row>
    <row r="41" spans="1:5" x14ac:dyDescent="0.35">
      <c r="A41" s="16"/>
      <c r="B41" s="7" t="s">
        <v>68</v>
      </c>
      <c r="C41" s="7">
        <v>0.40579999999999999</v>
      </c>
      <c r="D41" s="6"/>
      <c r="E41" s="6"/>
    </row>
    <row r="42" spans="1:5" x14ac:dyDescent="0.35">
      <c r="A42" s="16"/>
      <c r="B42" s="7" t="s">
        <v>67</v>
      </c>
      <c r="C42" s="7">
        <v>8.0000000000000002E-3</v>
      </c>
      <c r="D42" s="6"/>
      <c r="E42" s="6"/>
    </row>
    <row r="43" spans="1:5" x14ac:dyDescent="0.4">
      <c r="A43" s="16"/>
      <c r="B43" s="33" t="s">
        <v>39</v>
      </c>
      <c r="C43" s="36"/>
      <c r="D43" s="36"/>
      <c r="E43" s="37"/>
    </row>
    <row r="44" spans="1:5" x14ac:dyDescent="0.35">
      <c r="A44" s="16"/>
      <c r="B44" s="7" t="s">
        <v>66</v>
      </c>
      <c r="C44" s="7">
        <v>3.9600000000000003E-2</v>
      </c>
      <c r="D44" s="6" t="s">
        <v>2</v>
      </c>
      <c r="E44" s="6">
        <f>0.5355/2.016</f>
        <v>0.265625</v>
      </c>
    </row>
    <row r="45" spans="1:5" x14ac:dyDescent="0.35">
      <c r="A45" s="16"/>
      <c r="B45" s="7" t="s">
        <v>68</v>
      </c>
      <c r="C45" s="7">
        <v>0.51690000000000003</v>
      </c>
      <c r="D45" s="6"/>
      <c r="E45" s="6"/>
    </row>
    <row r="46" spans="1:5" x14ac:dyDescent="0.35">
      <c r="A46" s="16"/>
      <c r="B46" s="7" t="s">
        <v>67</v>
      </c>
      <c r="C46" s="7">
        <v>2.5999999999999999E-3</v>
      </c>
      <c r="D46" s="6"/>
      <c r="E46" s="6"/>
    </row>
    <row r="47" spans="1:5" x14ac:dyDescent="0.4">
      <c r="A47" s="16"/>
      <c r="B47" s="33" t="s">
        <v>40</v>
      </c>
      <c r="C47" s="36"/>
      <c r="D47" s="36"/>
      <c r="E47" s="37"/>
    </row>
    <row r="48" spans="1:5" x14ac:dyDescent="0.35">
      <c r="A48" s="16"/>
      <c r="B48" s="7" t="s">
        <v>66</v>
      </c>
      <c r="C48" s="7">
        <v>5.1000000000000004E-3</v>
      </c>
      <c r="D48" s="6" t="s">
        <v>2</v>
      </c>
      <c r="E48" s="6">
        <f>1.665/7.206</f>
        <v>0.23105745212323064</v>
      </c>
    </row>
    <row r="49" spans="1:5" x14ac:dyDescent="0.35">
      <c r="A49" s="16"/>
      <c r="B49" s="7" t="s">
        <v>68</v>
      </c>
      <c r="C49" s="7">
        <v>0.61739999999999995</v>
      </c>
      <c r="D49" s="6"/>
      <c r="E49" s="6"/>
    </row>
    <row r="50" spans="1:5" x14ac:dyDescent="0.35">
      <c r="A50" s="16"/>
      <c r="B50" s="7" t="s">
        <v>67</v>
      </c>
      <c r="C50" s="7">
        <v>5.6500000000000002E-2</v>
      </c>
      <c r="D50" s="6"/>
      <c r="E50" s="6"/>
    </row>
    <row r="51" spans="1:5" x14ac:dyDescent="0.4">
      <c r="A51" s="16"/>
      <c r="B51" s="33" t="s">
        <v>41</v>
      </c>
      <c r="C51" s="36"/>
      <c r="D51" s="36"/>
      <c r="E51" s="37"/>
    </row>
    <row r="52" spans="1:5" x14ac:dyDescent="0.35">
      <c r="A52" s="16"/>
      <c r="B52" s="7" t="s">
        <v>66</v>
      </c>
      <c r="C52" s="7">
        <v>3.1E-2</v>
      </c>
      <c r="D52" s="6" t="s">
        <v>2</v>
      </c>
      <c r="E52" s="6">
        <f>0.994/5.036</f>
        <v>0.19737887212073074</v>
      </c>
    </row>
    <row r="53" spans="1:5" x14ac:dyDescent="0.35">
      <c r="A53" s="16"/>
      <c r="B53" s="7" t="s">
        <v>68</v>
      </c>
      <c r="C53" s="7">
        <v>0.92730000000000001</v>
      </c>
      <c r="D53" s="6"/>
      <c r="E53" s="6"/>
    </row>
    <row r="54" spans="1:5" x14ac:dyDescent="0.35">
      <c r="A54" s="16"/>
      <c r="B54" s="7" t="s">
        <v>67</v>
      </c>
      <c r="C54" s="7">
        <v>1.4E-2</v>
      </c>
      <c r="D54" s="6"/>
      <c r="E54" s="6"/>
    </row>
    <row r="55" spans="1:5" x14ac:dyDescent="0.4">
      <c r="A55" s="16"/>
      <c r="B55" s="33" t="s">
        <v>42</v>
      </c>
      <c r="C55" s="36"/>
      <c r="D55" s="36"/>
      <c r="E55" s="37"/>
    </row>
    <row r="56" spans="1:5" x14ac:dyDescent="0.35">
      <c r="A56" s="16"/>
      <c r="B56" s="7" t="s">
        <v>66</v>
      </c>
      <c r="C56" s="7">
        <v>2.75E-2</v>
      </c>
      <c r="D56" s="6" t="s">
        <v>2</v>
      </c>
      <c r="E56" s="6">
        <f>1.934/6.725</f>
        <v>0.28758364312267659</v>
      </c>
    </row>
    <row r="57" spans="1:5" x14ac:dyDescent="0.35">
      <c r="A57" s="16"/>
      <c r="B57" s="7" t="s">
        <v>68</v>
      </c>
      <c r="C57" s="7">
        <v>0.48759999999999998</v>
      </c>
      <c r="D57" s="6"/>
      <c r="E57" s="6"/>
    </row>
    <row r="58" spans="1:5" x14ac:dyDescent="0.35">
      <c r="A58" s="16"/>
      <c r="B58" s="7" t="s">
        <v>67</v>
      </c>
      <c r="C58" s="7">
        <v>1.2999999999999999E-3</v>
      </c>
      <c r="D58" s="6"/>
      <c r="E58" s="6"/>
    </row>
    <row r="59" spans="1:5" x14ac:dyDescent="0.4">
      <c r="A59" s="16"/>
      <c r="B59" s="16"/>
      <c r="C59" s="16"/>
      <c r="D59" s="16"/>
      <c r="E59" s="16"/>
    </row>
    <row r="60" spans="1:5" x14ac:dyDescent="0.4">
      <c r="A60" s="15" t="s">
        <v>96</v>
      </c>
      <c r="B60" s="28" t="s">
        <v>89</v>
      </c>
      <c r="C60" s="32"/>
      <c r="D60" s="32"/>
      <c r="E60" s="32"/>
    </row>
    <row r="61" spans="1:5" x14ac:dyDescent="0.35">
      <c r="A61" s="16"/>
      <c r="B61" s="7" t="s">
        <v>66</v>
      </c>
      <c r="C61" s="7">
        <v>3.3E-3</v>
      </c>
      <c r="D61" s="6" t="s">
        <v>2</v>
      </c>
      <c r="E61" s="6">
        <f>3.786/10.75</f>
        <v>0.35218604651162794</v>
      </c>
    </row>
    <row r="62" spans="1:5" x14ac:dyDescent="0.35">
      <c r="A62" s="16"/>
      <c r="B62" s="7" t="s">
        <v>68</v>
      </c>
      <c r="C62" s="7">
        <v>0.84499999999999997</v>
      </c>
      <c r="D62" s="6"/>
      <c r="E62" s="6"/>
    </row>
    <row r="63" spans="1:5" x14ac:dyDescent="0.35">
      <c r="A63" s="16"/>
      <c r="B63" s="7" t="s">
        <v>67</v>
      </c>
      <c r="C63" s="7">
        <v>6.9999999999999999E-4</v>
      </c>
      <c r="D63" s="6"/>
      <c r="E63" s="6"/>
    </row>
    <row r="64" spans="1:5" x14ac:dyDescent="0.4">
      <c r="A64" s="16"/>
      <c r="B64" s="28" t="s">
        <v>90</v>
      </c>
      <c r="C64" s="29"/>
      <c r="D64" s="29"/>
      <c r="E64" s="29"/>
    </row>
    <row r="65" spans="1:5" x14ac:dyDescent="0.35">
      <c r="A65" s="16"/>
      <c r="B65" s="7" t="s">
        <v>66</v>
      </c>
      <c r="C65" s="7">
        <v>0.25530000000000003</v>
      </c>
      <c r="D65" s="6" t="s">
        <v>2</v>
      </c>
      <c r="E65" s="6">
        <f>870.7/5569</f>
        <v>0.15634763871431137</v>
      </c>
    </row>
    <row r="66" spans="1:5" x14ac:dyDescent="0.35">
      <c r="A66" s="16"/>
      <c r="B66" s="7" t="s">
        <v>68</v>
      </c>
      <c r="C66" s="7">
        <v>0.5665</v>
      </c>
      <c r="D66" s="6"/>
      <c r="E66" s="6"/>
    </row>
    <row r="67" spans="1:5" x14ac:dyDescent="0.35">
      <c r="A67" s="16"/>
      <c r="B67" s="7" t="s">
        <v>67</v>
      </c>
      <c r="C67" s="7">
        <v>3.9E-2</v>
      </c>
      <c r="D67" s="6"/>
      <c r="E67" s="6"/>
    </row>
    <row r="68" spans="1:5" x14ac:dyDescent="0.4">
      <c r="A68" s="16"/>
      <c r="B68" s="28" t="s">
        <v>91</v>
      </c>
      <c r="C68" s="29"/>
      <c r="D68" s="29"/>
      <c r="E68" s="29"/>
    </row>
    <row r="69" spans="1:5" x14ac:dyDescent="0.35">
      <c r="A69" s="16"/>
      <c r="B69" s="7" t="s">
        <v>66</v>
      </c>
      <c r="C69" s="7">
        <v>1.01E-2</v>
      </c>
      <c r="D69" s="6" t="s">
        <v>2</v>
      </c>
      <c r="E69" s="6">
        <f>34.63/137.8</f>
        <v>0.25130624092888243</v>
      </c>
    </row>
    <row r="70" spans="1:5" x14ac:dyDescent="0.35">
      <c r="A70" s="16"/>
      <c r="B70" s="7" t="s">
        <v>68</v>
      </c>
      <c r="C70" s="7">
        <v>0.8387</v>
      </c>
      <c r="D70" s="4"/>
      <c r="E70" s="4"/>
    </row>
    <row r="71" spans="1:5" x14ac:dyDescent="0.35">
      <c r="A71" s="16"/>
      <c r="B71" s="7" t="s">
        <v>67</v>
      </c>
      <c r="C71" s="7">
        <v>3.9699999999999999E-2</v>
      </c>
      <c r="D71" s="4"/>
      <c r="E71" s="4"/>
    </row>
  </sheetData>
  <mergeCells count="25">
    <mergeCell ref="B18:E18"/>
    <mergeCell ref="B14:E14"/>
    <mergeCell ref="B3:C3"/>
    <mergeCell ref="B7:C7"/>
    <mergeCell ref="B11:C11"/>
    <mergeCell ref="B15:C15"/>
    <mergeCell ref="B2:E2"/>
    <mergeCell ref="B1:C1"/>
    <mergeCell ref="D1:E1"/>
    <mergeCell ref="B6:E6"/>
    <mergeCell ref="B10:E10"/>
    <mergeCell ref="B68:E68"/>
    <mergeCell ref="B22:E22"/>
    <mergeCell ref="B51:E51"/>
    <mergeCell ref="B26:E26"/>
    <mergeCell ref="B35:E35"/>
    <mergeCell ref="B39:E39"/>
    <mergeCell ref="B43:E43"/>
    <mergeCell ref="B47:E47"/>
    <mergeCell ref="B30:E30"/>
    <mergeCell ref="B60:E60"/>
    <mergeCell ref="B64:E64"/>
    <mergeCell ref="B55:E55"/>
    <mergeCell ref="B27:C27"/>
    <mergeCell ref="B31:C3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Figure1</vt:lpstr>
      <vt:lpstr>Figure2</vt:lpstr>
      <vt:lpstr>Figure3</vt:lpstr>
      <vt:lpstr>Figure4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佳丽 王</dc:creator>
  <cp:lastModifiedBy>佳丽 王</cp:lastModifiedBy>
  <dcterms:created xsi:type="dcterms:W3CDTF">2026-08-14T00:40:41Z</dcterms:created>
  <dcterms:modified xsi:type="dcterms:W3CDTF">2026-10-04T08:34:25Z</dcterms:modified>
</cp:coreProperties>
</file>